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mpeam.sharepoint.com/sites/MP-DCCON/Shared Documents/General/PT e e-Contas/TRANSPARÊNCIA 2026/CONVÊNIOS/Modelo Atricon/Consolidado 2026/"/>
    </mc:Choice>
  </mc:AlternateContent>
  <xr:revisionPtr revIDLastSave="73" documentId="13_ncr:1_{429BE020-8FC0-46DD-A9F7-F782D5CD3478}" xr6:coauthVersionLast="47" xr6:coauthVersionMax="47" xr10:uidLastSave="{781AF95B-B841-4ED6-BD1A-717BF817D518}"/>
  <bookViews>
    <workbookView xWindow="-120" yWindow="-120" windowWidth="29040" windowHeight="15720" xr2:uid="{00000000-000D-0000-FFFF-FFFF00000000}"/>
  </bookViews>
  <sheets>
    <sheet name="CONVÊNIOS" sheetId="1" r:id="rId1"/>
  </sheets>
  <definedNames>
    <definedName name="_FilterDatabase_0_0" localSheetId="0">CONVÊNIOS!$A$11:$A$249</definedName>
    <definedName name="_Hlk13580526" localSheetId="0">CONVÊNIOS!$K$141</definedName>
    <definedName name="FEVE" localSheetId="0">CONVÊNIOS!$10:$11</definedName>
    <definedName name="FEVERIRO" localSheetId="0">CONVÊNIOS!$10:$11</definedName>
    <definedName name="Print_Titles_0" localSheetId="0">CONVÊNIOS!$10:$11</definedName>
    <definedName name="Print_Titles_0_0" localSheetId="0">CONVÊNIOS!$10:$11</definedName>
    <definedName name="Print_Titles_0_0_0" localSheetId="0">CONVÊNIOS!$10:$11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3" i="1" l="1"/>
  <c r="T226" i="1"/>
  <c r="T225" i="1"/>
  <c r="A225" i="1"/>
  <c r="T224" i="1"/>
  <c r="A224" i="1"/>
  <c r="A223" i="1"/>
  <c r="A222" i="1"/>
  <c r="A221" i="1"/>
  <c r="T220" i="1"/>
  <c r="A220" i="1"/>
  <c r="A219" i="1"/>
  <c r="T218" i="1"/>
  <c r="A218" i="1"/>
  <c r="A217" i="1"/>
  <c r="A216" i="1"/>
  <c r="A215" i="1"/>
  <c r="A214" i="1"/>
  <c r="A213" i="1"/>
  <c r="A212" i="1"/>
  <c r="A211" i="1"/>
  <c r="A210" i="1"/>
  <c r="A209" i="1"/>
  <c r="A208" i="1"/>
  <c r="A207" i="1"/>
  <c r="A206" i="1"/>
  <c r="A205" i="1"/>
  <c r="T204" i="1"/>
  <c r="A204" i="1"/>
  <c r="T203" i="1"/>
  <c r="A203" i="1"/>
  <c r="A202" i="1"/>
  <c r="A201" i="1"/>
  <c r="A200" i="1"/>
  <c r="A199" i="1"/>
  <c r="A198" i="1"/>
  <c r="A197" i="1"/>
  <c r="A196" i="1"/>
  <c r="A195" i="1"/>
  <c r="A194" i="1"/>
  <c r="A193" i="1"/>
  <c r="A192" i="1"/>
  <c r="A191" i="1"/>
  <c r="A190" i="1"/>
  <c r="A189" i="1"/>
  <c r="A188" i="1"/>
  <c r="T187" i="1"/>
  <c r="A187" i="1"/>
  <c r="A186" i="1"/>
  <c r="A185" i="1"/>
  <c r="A184" i="1"/>
  <c r="A183" i="1"/>
  <c r="A182" i="1"/>
  <c r="A181" i="1"/>
  <c r="A180" i="1"/>
  <c r="A179" i="1"/>
  <c r="A178" i="1"/>
  <c r="A177" i="1"/>
  <c r="A176" i="1"/>
  <c r="A175" i="1"/>
  <c r="A174" i="1"/>
  <c r="T173" i="1"/>
  <c r="A173" i="1"/>
  <c r="A172" i="1"/>
  <c r="A171" i="1"/>
  <c r="A170" i="1"/>
  <c r="A169" i="1"/>
  <c r="A168" i="1"/>
  <c r="A167" i="1"/>
  <c r="A166" i="1"/>
  <c r="T165" i="1"/>
  <c r="A165" i="1"/>
  <c r="A164" i="1"/>
  <c r="A163" i="1"/>
  <c r="A162" i="1"/>
  <c r="T161" i="1"/>
  <c r="A161" i="1"/>
  <c r="A160" i="1"/>
  <c r="A159" i="1"/>
  <c r="A158" i="1"/>
  <c r="A157" i="1"/>
  <c r="A156" i="1"/>
  <c r="A155" i="1"/>
  <c r="T154" i="1"/>
  <c r="A154" i="1"/>
  <c r="A153" i="1"/>
  <c r="A152" i="1"/>
  <c r="A151" i="1"/>
  <c r="A150" i="1"/>
  <c r="A149" i="1"/>
  <c r="A148" i="1"/>
  <c r="A147" i="1"/>
  <c r="A146" i="1"/>
  <c r="A145" i="1"/>
  <c r="A144" i="1"/>
  <c r="A143" i="1"/>
  <c r="A142" i="1"/>
  <c r="A141" i="1"/>
  <c r="T140" i="1"/>
  <c r="A140" i="1"/>
  <c r="A139" i="1"/>
  <c r="T138" i="1"/>
  <c r="T137" i="1"/>
  <c r="T136" i="1"/>
  <c r="T135" i="1"/>
  <c r="T134" i="1"/>
  <c r="T133" i="1"/>
  <c r="T132" i="1"/>
  <c r="A132" i="1"/>
  <c r="T131" i="1"/>
  <c r="A131" i="1"/>
  <c r="A130" i="1"/>
  <c r="A129" i="1"/>
  <c r="A128" i="1"/>
  <c r="T127" i="1"/>
  <c r="A127" i="1"/>
  <c r="A126" i="1"/>
  <c r="A125" i="1"/>
  <c r="A124" i="1"/>
  <c r="A123" i="1"/>
  <c r="A122" i="1"/>
  <c r="A121" i="1"/>
  <c r="A120" i="1"/>
  <c r="T119" i="1"/>
  <c r="A119" i="1"/>
  <c r="A118" i="1"/>
  <c r="T117" i="1"/>
  <c r="A117" i="1"/>
  <c r="A116" i="1"/>
  <c r="A115" i="1"/>
  <c r="A114" i="1"/>
  <c r="A113" i="1"/>
  <c r="A112" i="1"/>
  <c r="A111" i="1"/>
  <c r="A110" i="1"/>
  <c r="T109" i="1"/>
  <c r="A109" i="1"/>
  <c r="A108" i="1"/>
  <c r="A107" i="1"/>
  <c r="A106" i="1"/>
  <c r="A105" i="1"/>
  <c r="A104" i="1"/>
  <c r="A103" i="1"/>
  <c r="A102" i="1"/>
  <c r="A101" i="1"/>
  <c r="A100" i="1"/>
  <c r="T99" i="1"/>
  <c r="T98" i="1"/>
  <c r="A98" i="1"/>
  <c r="A97" i="1"/>
  <c r="T96" i="1"/>
  <c r="T95" i="1"/>
  <c r="A95" i="1"/>
  <c r="A94" i="1"/>
  <c r="A93" i="1"/>
  <c r="A92" i="1"/>
  <c r="A91" i="1"/>
  <c r="A90" i="1"/>
  <c r="A89" i="1"/>
  <c r="T88" i="1"/>
  <c r="A88" i="1"/>
  <c r="A87" i="1"/>
  <c r="A86" i="1"/>
  <c r="A85" i="1"/>
  <c r="A84" i="1"/>
  <c r="A83" i="1"/>
  <c r="A82" i="1"/>
  <c r="A81" i="1"/>
  <c r="A80" i="1"/>
  <c r="A79" i="1"/>
  <c r="A78" i="1"/>
  <c r="A77" i="1"/>
  <c r="A76" i="1"/>
  <c r="A75" i="1"/>
  <c r="A74" i="1"/>
  <c r="T73" i="1"/>
  <c r="A73" i="1"/>
  <c r="A72" i="1"/>
  <c r="A71" i="1"/>
  <c r="A70" i="1"/>
  <c r="A69" i="1"/>
  <c r="T68" i="1"/>
  <c r="T67" i="1"/>
  <c r="A67" i="1"/>
  <c r="A66" i="1"/>
  <c r="A65" i="1"/>
  <c r="A64" i="1"/>
  <c r="A63" i="1"/>
  <c r="A62" i="1"/>
  <c r="A61" i="1"/>
  <c r="A60" i="1"/>
  <c r="A59" i="1"/>
  <c r="A58" i="1"/>
  <c r="A57" i="1"/>
  <c r="A56" i="1"/>
  <c r="A55" i="1"/>
  <c r="A54" i="1"/>
  <c r="A53" i="1"/>
  <c r="A52" i="1"/>
  <c r="A51" i="1"/>
  <c r="T50" i="1"/>
  <c r="A50" i="1"/>
  <c r="A49" i="1"/>
  <c r="A48" i="1"/>
  <c r="A47" i="1"/>
  <c r="A46" i="1"/>
  <c r="A45" i="1"/>
  <c r="A44" i="1"/>
  <c r="A43" i="1"/>
  <c r="A42" i="1"/>
  <c r="A41" i="1"/>
  <c r="A40" i="1"/>
  <c r="A39" i="1"/>
  <c r="A38" i="1"/>
  <c r="A37" i="1"/>
  <c r="A36" i="1"/>
  <c r="T35" i="1"/>
  <c r="A35" i="1"/>
  <c r="A34" i="1"/>
  <c r="A33" i="1"/>
  <c r="A32" i="1"/>
  <c r="A31" i="1"/>
  <c r="A30" i="1"/>
  <c r="A29" i="1"/>
  <c r="A28" i="1"/>
  <c r="A27" i="1"/>
  <c r="A26" i="1"/>
  <c r="A25" i="1"/>
  <c r="A24" i="1"/>
  <c r="A23" i="1"/>
  <c r="A22" i="1"/>
  <c r="A21" i="1"/>
  <c r="A20" i="1"/>
  <c r="A19" i="1"/>
  <c r="A18" i="1"/>
  <c r="A17" i="1"/>
  <c r="A16" i="1"/>
  <c r="A15" i="1"/>
  <c r="A14" i="1"/>
  <c r="A13" i="1"/>
  <c r="A12" i="1"/>
</calcChain>
</file>

<file path=xl/sharedStrings.xml><?xml version="1.0" encoding="utf-8"?>
<sst xmlns="http://schemas.openxmlformats.org/spreadsheetml/2006/main" count="3098" uniqueCount="1258">
  <si>
    <t>JUNHO / 2026</t>
  </si>
  <si>
    <t>ACORDOS SEM REPASSE</t>
  </si>
  <si>
    <t>Nº / ANO</t>
  </si>
  <si>
    <t>TIPO DE INSTRUMENTO</t>
  </si>
  <si>
    <t>OBJETO</t>
  </si>
  <si>
    <t>DATAS DE PUBLICAÇÃO</t>
  </si>
  <si>
    <t>Nº PROCESSO</t>
  </si>
  <si>
    <t>VIGÊNCIA</t>
  </si>
  <si>
    <t>SITUAÇÃO</t>
  </si>
  <si>
    <t>PARTÍCIPE</t>
  </si>
  <si>
    <t>CNPJ/CPF</t>
  </si>
  <si>
    <t>REPRESENTANTES</t>
  </si>
  <si>
    <t>Gestor/Fiscal</t>
  </si>
  <si>
    <t>CONCEDENTE</t>
  </si>
  <si>
    <t>CONVENENTE</t>
  </si>
  <si>
    <t>REPASSE CONCEDENTE</t>
  </si>
  <si>
    <t>REPASSE CONVENENTE (CONTRAPARTIDA)</t>
  </si>
  <si>
    <t>PRESTAÇÃO DE CONTAS</t>
  </si>
  <si>
    <t>ADITIVO</t>
  </si>
  <si>
    <t>Inicio</t>
  </si>
  <si>
    <t>Término</t>
  </si>
  <si>
    <t>TERMO DE COOPERAÇÃO TÉCNICA</t>
  </si>
  <si>
    <t>Conjugação de esforços entre os partícipes para o planejamento, desenvolvimento e execução de ações integradas de interesse comum, abrangendo atividades de ensino, pesquisa, extensão, assistência, inovação, apoio técnico-institucional, intercâmbio de informações, desenvolvimento de estudos, diagnósticos, projetos, programas, eventos, capacitações e ações de natureza administrativa e operacional, com vistas ao fortalecimento institucional, à promoção dos direitos da pessoa idosa, à cidadania e ao aprimoramento das políticas públicas correlatas, sem transferência de recursos financeiros entre os partícipes.</t>
  </si>
  <si>
    <t>DOMPE: 9/06/2026</t>
  </si>
  <si>
    <t>2026.008985</t>
  </si>
  <si>
    <t>ATIVO</t>
  </si>
  <si>
    <t>Fundação Universidade Aberta da Terceira Idade</t>
  </si>
  <si>
    <t>31.692.289/0001-80</t>
  </si>
  <si>
    <t>EULER ESTEVES RIBEIRO</t>
  </si>
  <si>
    <t>-</t>
  </si>
  <si>
    <t>REGULAR</t>
  </si>
  <si>
    <t>Não</t>
  </si>
  <si>
    <t>TERMO DE ADESÃO</t>
  </si>
  <si>
    <t>Adesão do Ministério Público do Estado do Amazonas (MPAM) ao Acordo de Cooperação Técnica nº 12/2025, firmado entre o Conselho Nacional do Ministério Público (CNMP) e a SAFERNET BRASIL, organização da sociedade civil, cujo objeto é a disponibilização, por parte da SAFERNET ao CNMP, do acesso aos dados obtidos por meio de denúncias anônimas recebidas no canal de denúncias disponível no site www.denuncie.org.br, com a finalidade de unir esforços para prevenir e combater o abuso sexual infantojuvenil, a prática de racismo e outras formas de discriminação (crimes de ódio) instrumentalizadas via internet, bem como o acesso a outros cadastros, cursos de capacitação, informações e notícias sobre ameaças e violências aos direitos humanos na internet, conforme especificações estabelecidas no plano de trabalho</t>
  </si>
  <si>
    <t>DOMPE: 29/05/2026</t>
  </si>
  <si>
    <t>2026.011213</t>
  </si>
  <si>
    <t>CONSELHO NACIONAL DO MINISTÉRIO PÚBLICO</t>
  </si>
  <si>
    <t>11,439.520/0001-11</t>
  </si>
  <si>
    <t>NÃO SE APLICA</t>
  </si>
  <si>
    <t>YNNA BREVES MAIA CARVALHO</t>
  </si>
  <si>
    <t>Desenvolvimento de ações conjuntas entre os partícipes, visando à cooperação para a efetiva implementação, acompanhamento e avaliação da política de alternativas penais no Estado do Amazonas, nos termos propostos em Lei, concretizando, desta forma, as condições institucionais necessárias para o desenvolvimento de um modelo de gestão em alternativas penais com foco na intervenção penal mínima, no desencarceramento e na restauração dos danos e laços sociais.</t>
  </si>
  <si>
    <t>DOMPE: 2/06/2026</t>
  </si>
  <si>
    <t>2025.021249</t>
  </si>
  <si>
    <t>SECRETARIA
DE ESTADO DE ADMINISTRAÇÃO PENITENCIÁRIA</t>
  </si>
  <si>
    <t>22.156.676/0001-01</t>
  </si>
  <si>
    <t>PAULO CESAR GOMES DE OLIVEIRA
JUNIOR</t>
  </si>
  <si>
    <t>Adesão do Ministério Público do Estado do Amazonas (MPAM), à Rede Equidade, instituída pelo Acordo de Cooperação Técnica nº 2021/0235, celebrado entre o Senado Federal, o Tribunal de Contas da União, o Tribunal de Justiça do Distrito Federal e dos Territórios, o Conselho Nacional de Justiça, o Superior Tribunal de Justiça, o Ministério de Minas e Energia, a Companhia de Pesquisa de Recursos Minerais, o Ministério Público do Trabalho, a Câmara dos Deputados, o Conselho Nacional do Ministério Público e o Tribunal Superior Eleitoral, com o objeto de promoção de ações conjuntas no âmbito da Equidade, Inclusão e Diversidade, com foco em Gênero e Raça.</t>
  </si>
  <si>
    <t>DOE: 5/05/2026
DOMPE: 5/05/2026</t>
  </si>
  <si>
    <t>2026.004004</t>
  </si>
  <si>
    <t>SENADO FEDERAL</t>
  </si>
  <si>
    <t>00.530.279/0001-15</t>
  </si>
  <si>
    <t>EVANDRO APARECIDO BALDUTTI</t>
  </si>
  <si>
    <t>CLÁUDIA MARIA RAPOSO DA CÂMARA</t>
  </si>
  <si>
    <t>Estabelecer as condições gerais e critérios a serem observados na concessão, pela Caixa Econômica Federal (CEF), de empréstimos e/ou financiamentos e outras modalidades de crédito consignado permitidas pela legislação vigente, com pagamento mediante consignação em folha de pagamento, a membros, servidores, aposentados e/ou pensionistas vinculados ao Ministério Público do Estado do Amazonas (MPAM), doravante denominados, em conjunto, beneficiários, que tenham vínculo ativo ou inativo com o MPAM, na forma das normas internas e da legislação aplicável.</t>
  </si>
  <si>
    <t>DOE: 30/04/2026
DOMPE: 30/04/2026</t>
  </si>
  <si>
    <t>2025.025373</t>
  </si>
  <si>
    <t>CAIXA ECONÔMICA FEDERAL</t>
  </si>
  <si>
    <t>00.360.305/0001-04</t>
  </si>
  <si>
    <t>JARDEL BENTES DA ROCHA</t>
  </si>
  <si>
    <t>Estabelecer condições gerais e critérios a serem observados na concessão de empréstimos e/ou financiamentos com pagamento mediante consignação em folha de pagamento, pelo Banco do Brasil S/A, aos membros, servidores, aposentados e/ou pensionistas tomadores de empréstimos e/ou financiamentos vinculados ao Ministério Público do Estado do Amazonas (MPAM), que tenham contrato de trabalho/vínculo estatutário formalizado e vigente com o MPAM</t>
  </si>
  <si>
    <t>DOE: 4/05/2026
DOMPE: 4/05/2026</t>
  </si>
  <si>
    <t>2025.019559</t>
  </si>
  <si>
    <t>BANCO DO BRASIL S/A</t>
  </si>
  <si>
    <t>00.000.000/0001-91</t>
  </si>
  <si>
    <t>GILBERTO PINTO FIGUEIREDO COSTA NETO</t>
  </si>
  <si>
    <t>Adesão ao Acordo de Cooperação Técnica nº 024/2025, celebrado em 15 de agosto de 2025, publicado no Diário Oficial da União do dia 18 de agosto de 2025, Seção 3, página 217, que tem por objeto o desenvolvimento colaborativo, a manutenção e a evolução da Suíte de Aplicações Tecnológicas Brasil.IA, através do Laboratório Integrado de Desenvolvimento de Inovação Tecnológica (Brasil.IALAB).</t>
  </si>
  <si>
    <t>DOMPE: 27/04/2026</t>
  </si>
  <si>
    <t>2026.006252</t>
  </si>
  <si>
    <t>MINISTÉRIO PÚBLICO DO DISTRITO FEDERAL E TERRITÓRIOS</t>
  </si>
  <si>
    <t>26.989.715/0002-93</t>
  </si>
  <si>
    <t>GEORGES CARLOS FREDDERICO MOREIRA SEIGNEUR</t>
  </si>
  <si>
    <t>EUDO DE LIMA ASSIS JUNIOR</t>
  </si>
  <si>
    <t>TERMO DE COMPROMISSO DE APOIADOR INSTITUCIONAL</t>
  </si>
  <si>
    <t>Apoiar a difusão de princípios, normas e boas práticas de integridade pública; incentivar o aprimoramento da gestão pública estadual, distrital e municipal, com ênfase na valorização da integridade; estimular o fortalecimento integrado das funções de integridade, em especial as de controle interno, corregedoria, ouvidoria, ética e transparência; fomentar iniciativas de aprimoramento das áreas governamentais relacionadas à integridade; e promover o acesso de agentes públicos a atividades de capacitação que os habilitem como multiplicadores de integridade no serviço público.</t>
  </si>
  <si>
    <t>DOMPE: 24/03/2026</t>
  </si>
  <si>
    <t>2026.003090</t>
  </si>
  <si>
    <t>Ativo</t>
  </si>
  <si>
    <t>Controladoria Geral da União</t>
  </si>
  <si>
    <t>26.664.015/0001-48</t>
  </si>
  <si>
    <t>EDINALDO AQUINO MEDEIROS</t>
  </si>
  <si>
    <t>Estabelecer a colaboração institucional entre o Ministério Público do Estado do Amazonas, por meio de sua Ouvidoria-Geral, e o Serviço Nacional de Aprendizagem Comercial no Amazonas (Senac/AM), visando ao desenvolvimento de ações conjuntas voltadas à capacitação profissional, aprimoramento dos serviços de atendimento ao cidadão, promoção de atividades educativas, realização de cursos, eventos, pesquisas e projetos que contribuam para o fortalecimento da cidadania, da transparência e da melhoria contínua dos serviços prestados à sociedade.</t>
  </si>
  <si>
    <t>DOMPE: 11/03/2026</t>
  </si>
  <si>
    <t>2025.027382</t>
  </si>
  <si>
    <t>SERVIÇO NACIONAL DE APRENDIZAGEM COMERCIAL NO AMAZONAS</t>
  </si>
  <si>
    <t>03.965.450/0001-07</t>
  </si>
  <si>
    <t>SILVIA ABDALA TUMA e SILVANA MARIA FERREIRA DE CARVALHO</t>
  </si>
  <si>
    <t>PATRÍCIA COSTA MARTINS e VÍVIAN DA SILVA DONATO LOPES MARTINS</t>
  </si>
  <si>
    <t>TERMO DE CESSÃO</t>
  </si>
  <si>
    <t>Cessão de uso gratuita de imóvel urbano, do qual a União é a legítima possuidora, RIP nº 0255.00864.500-0, localizado na Av. São Jorge, nº 2.878, bairro São Jorge, Manaus/AM, Matrícula Cartorial nº 24587, registrado no Cartório do 3º Ofício de Registro de Imóveis, área do terreno de 2.992,83m², área da benfeitoria de 2.694,34m², valor estimado do imóvel de R$ 5.082.000,00, com a finalidade de servir para instalação da infraestrutura física para as unidades especializadas da Proucuradoria-Geral de Justiça do Estado do Amazonas (PGJ/AM).</t>
  </si>
  <si>
    <t>DOU: 5/03/2026
DOMPE: 9/03/2026</t>
  </si>
  <si>
    <t>2025.018496</t>
  </si>
  <si>
    <t>UNIÃO</t>
  </si>
  <si>
    <t>00.489.828/0009-02</t>
  </si>
  <si>
    <t>MAURO LENO RODRIGUES DE SOUZA</t>
  </si>
  <si>
    <t>Marlon André Mendes Bernardo - CPF:***.128.172-**</t>
  </si>
  <si>
    <t>Disciplinar o intercâmbio de tecnologias, conhecimentos e bases de dados entre os partícipes, nos seguintes termos: o Ministério Público Federal (MPF) viabilizará a transferência de tecnologia e fornecerá suporte técnico para o recebimento e processamento de informações por meio do Sistema de Investigação de Movimentações Bancárias – SIMBA. O Ministério Público do Estado do Amazonas (MPAM) fornecerá ao MPF, se houver, acesso a sistemas de informações e extrações periódicas de bases de informações estruturadas contendo dados de interesse finalístico, ressalvadas as informações sigilosas submetidas a reserva de jurisdição e as consideradas de caráter confidencial.</t>
  </si>
  <si>
    <t>DOU: 19/02/2026 DOMPE: 23/02/2026</t>
  </si>
  <si>
    <t>2025.025309</t>
  </si>
  <si>
    <t>Ministério Público Federal</t>
  </si>
  <si>
    <t>26.989.715/0001-02</t>
  </si>
  <si>
    <t>ELIANA PERES TORELLY DE CARVALHO</t>
  </si>
  <si>
    <t>José Ricardo Sampaio Coutinho - CPF:***.702.952-**</t>
  </si>
  <si>
    <t>Cessão de uso gratuito do imóvel de propriedade do Município de Novo Aripuanã, localizado na Avenida 19 de Dezembro, s/nº, bairro Centro, CEP 69260-000, Comarca de Novo Aripuanã/AM, inscrito sob o Título Definitivo nº 49/2025 no Cartório Extrajudicial da Comarca de Novo Aripuanã, com área total de 462,00 m², com os seguintes limites: pela frente, ao norte, com a Avenida 19 de Dezembro; pelo lado direito, ao leste, com o Fórum Joaquim Almeida de Souza; pelo lado esquerdo, ao oeste, com a Escola Estadual Professor Francisco Sá; e, pelos fundos, ao sul, com particulares.</t>
  </si>
  <si>
    <t>DOMPE: 13/02/2026</t>
  </si>
  <si>
    <t>2025.026746</t>
  </si>
  <si>
    <t>Prefeitura Municipal de Novo Aripuanã/AM</t>
  </si>
  <si>
    <t>04.278.818/0001-21</t>
  </si>
  <si>
    <t>RAYMUNDO LOPES DE ALBUQUERQUE SOBRINHO</t>
  </si>
  <si>
    <t>A cessão, a título gratuito, não exclusiva e intransferível, de licença de uso do software denominado SUSTENTATIO, doravante denominado simplesmente SOFTWARE, criado e de titularidade do CEDENTE, para uso institucional pelo CESSIONÁRIO, nos termos e condições aqui estabelecidos.</t>
  </si>
  <si>
    <t>DOMPE: 18/12/2025</t>
  </si>
  <si>
    <t>2025.023093</t>
  </si>
  <si>
    <t>Almério Samuel Almeida Pinto</t>
  </si>
  <si>
    <t>***.757.122-**</t>
  </si>
  <si>
    <t>Márcio Fernando Nogueira Borges de Campos - CPF:***.239.587-**</t>
  </si>
  <si>
    <t>A cessão do software CUSTODIATECH criado pelo MPRN que permite a coleta qualificada da prova digital de forma fácil e com observância às normas nacionais e internacionais relacionadas ao tema, notadamente no que diz respeito à garantia da autenticidade, integridade, completude, temporalidade e auditabilidade do material coletado.</t>
  </si>
  <si>
    <t>DOMPE: 1/12/2025</t>
  </si>
  <si>
    <t>2025.015300</t>
  </si>
  <si>
    <t>MINISTÉRIO PÚBLICO DO ESTADO DO RIO GRANDE DO NORTE - MPRN</t>
  </si>
  <si>
    <t>08.539.710/0001-04</t>
  </si>
  <si>
    <t>Gláucio Pinto Braga</t>
  </si>
  <si>
    <t>Formalizar a adesão do Ministério Público do Estado do Amazonas (MPAM) ao Acordo de Cooperação Técnica celebrado entre o Conselho Nacional do Ministério Público, a Associação dos Membros dos Tribunais de Contas do Brasil, o Instituto Rui Barbosa e o Ministério Público do Estado de Alagoas, objetivando, por meio de estratégias de gestão compartilhada e intervenção no ambiente escolar, o desenvolvimento e a ampliação das ações no âmbito do “Projeto Sede de Aprender”, em nível nacional, visando à ampliação e consolidação de ações institucionais para fiscalização e controle da universalização do acesso à água potável e ao saneamento básico nas escolas brasileiras.</t>
  </si>
  <si>
    <t>DOMPE: 28/11/2025</t>
  </si>
  <si>
    <t>2025.009165</t>
  </si>
  <si>
    <t>11.439.520/0001-11</t>
  </si>
  <si>
    <t>Paulo Gustavo Gonet Branco</t>
  </si>
  <si>
    <t>Alberto Rodrigues do Nascimento Júnior</t>
  </si>
  <si>
    <t>A implementação do Projeto Novos Caminhos, cuja finalidade é o trabalho preventivo, de autorresponsabilização e de conscientização, com supostos autores de violência doméstica contra a mulher, visando reduzir os índices dessa violência por meio da realização de grupos reflexivos com o referido público, no Município de Manicoré.</t>
  </si>
  <si>
    <t>2025.012357</t>
  </si>
  <si>
    <t>PREFEITURA MUNICIPAL DE MANICORÉ</t>
  </si>
  <si>
    <t>04.197.166/0001-09</t>
  </si>
  <si>
    <t>Lúcio Flavio do Rosário - CPF: ***.893.692-**</t>
  </si>
  <si>
    <t>Ludmilla Dematte de Freitas Coutinho</t>
  </si>
  <si>
    <t>Estabelecer um programa de cooperação para a execução conjunta de atividades voltadas ao empreendedorismo inovador, inovação aberta, aceleração de startups, ativação de ecossistemas, pesquisa, desenvolvimento e inovação (PD&amp;I) em Tecnologia da Informação e Comunicação (TIC), além de ações de pesquisa, extensão e formação continuada de membros e servidores do MPAM.</t>
  </si>
  <si>
    <t>DOMPE: 05/11/2025</t>
  </si>
  <si>
    <t>2025.022296</t>
  </si>
  <si>
    <t>INSTITUTO DE DESENVOLVIMENTO TECNOLÓGICO</t>
  </si>
  <si>
    <t>04.802.134/0002-68</t>
  </si>
  <si>
    <t xml:space="preserve">Carlos Geraldo de Britto Feitoza - CPF: ***.531.396-** </t>
  </si>
  <si>
    <t>Jefferson Neves de Carvalho - CPF: ***.068.182-**</t>
  </si>
  <si>
    <t>Estabelecimento de parceria entre o Ministério Público do Estado do Amazonas (MPAM), com atuação da Ouvidoria-Geral do Ministério Público do Estado do Amazonas (OGMP), e o Serviço Brasileiro de Apoio às Micro e Pequenas Empresas (SEBRAE/AM), visando a execução de ações conjuntas em diversas áreas de interesse público.</t>
  </si>
  <si>
    <t>DOMPE: 21/10/2025</t>
  </si>
  <si>
    <t>2025.020082</t>
  </si>
  <si>
    <t>16/10/2027</t>
  </si>
  <si>
    <t>SERVIÇO BRASILEIRO DE APOIO ÀS MICRO E PEQUENAS EMPRESAS - SEBRAE/AM</t>
  </si>
  <si>
    <t>04.322.004/0001-47</t>
  </si>
  <si>
    <t xml:space="preserve">Antônio Carlos da Silva; Ananda Carvalho Normando Pessoa; e Lamisse Said da Silva Cavalcanti </t>
  </si>
  <si>
    <t>Patrícia Costa Martins - CPF:***.426.762-**
Vívian da Silva Donato Lopes Martins - CPF:***.722.812-**</t>
  </si>
  <si>
    <t>Estabelecer cooperação técnica para cessão de ferramenta informatizada, do software "SISPLAN  Sistema de Planejamento e Gestão", desenvolvido pelo MPMT, ao Ministério Público do Estado do Amazonas.</t>
  </si>
  <si>
    <t>DOMPE: 17/10/2025</t>
  </si>
  <si>
    <t>2025.002381</t>
  </si>
  <si>
    <t>15/10/2030</t>
  </si>
  <si>
    <t>MINISTÉRIO PÚBLICO DO ESTADO DO MATO GROSSO</t>
  </si>
  <si>
    <t>14.921.092/0001-57</t>
  </si>
  <si>
    <t>Januária Dorileo</t>
  </si>
  <si>
    <t>Genner Ramos Maia - CPF:***.750.352-**
Leandro Viana Meneghini - CPF:***.340.202-**</t>
  </si>
  <si>
    <t>Compartilhamento dos arquivos que compõem o projeto TranquilaMente, idealizado pela Coordenação de Gestão da Qualidade de Vida no Trabalho do MINISTÉRIO PÚBLICO DO ESTADO DA BAHIA em prol do MINISTÉRIO PÚBLICO DO ESTADO DO AMAZONAS.</t>
  </si>
  <si>
    <t>DOMPE: 15/10/2025</t>
  </si>
  <si>
    <t>2025.017635</t>
  </si>
  <si>
    <t>14/03/2027</t>
  </si>
  <si>
    <t>MINISTÉRIO PÚBLICO DO ESTADO DA BAHIA</t>
  </si>
  <si>
    <t>04.142.491/0001-66</t>
  </si>
  <si>
    <t>Pedro Maia Souza Marques</t>
  </si>
  <si>
    <t>Conjugação de esforços entre as cooperantes para atuação no Projeto Acolhendo Vozes criado pelo Núcleo Permanente de Autocomposição do Ministério Público do Estado do Amazonas - NUPA-MPAM, cujo escopo é a aplicação de Práticas Restaurativas com mulheres vitimas de violência doméstica e familiar, estimulando a autoestima, o empoderamento, o autocuidado e a busca da autonomia e, separadamente, com grupos de homens, autores de violência doméstica e familiar contra a mulher, inspirando-os a desenvolverem a autorresponsabilidade e a compreensão do impacto de suas ações, de modo a evitar a reincidência de atos violentos e/ou abusivos, ex vi do artigo 22, incisos VI e VII da Lei n.º 11.340/06.</t>
  </si>
  <si>
    <t>DOMPE: 6/10/2025</t>
  </si>
  <si>
    <t>2025.010727</t>
  </si>
  <si>
    <t>3/10/2030</t>
  </si>
  <si>
    <t>TRIBUNAL DE JUSTIÇA DO ESTADO DO AMAZONAS</t>
  </si>
  <si>
    <t>04.812.509/0001-90</t>
  </si>
  <si>
    <t>Jomar Ricardo Saunders Fernandes</t>
  </si>
  <si>
    <t>Yara Rebeca Albuquerque Marinho de Paula</t>
  </si>
  <si>
    <t>Compartilhamento da ferramenta denominada Materializador de Evidências Digitais e Informáticas (MEDI), desenvolvida pelo Grupo de Atuação Especial de Combate ao Crime Organizado (GAECO) e de propriedade do MPGO.</t>
  </si>
  <si>
    <t>DOMPE: 9/10/2025</t>
  </si>
  <si>
    <t>2025.020536</t>
  </si>
  <si>
    <t>2/10/2030</t>
  </si>
  <si>
    <t>MINISTÉRIO PÚBLICO DO ESTADO DE GOIÁS</t>
  </si>
  <si>
    <t>01.409.598/0001-30</t>
  </si>
  <si>
    <t>Cyro Terra Peres</t>
  </si>
  <si>
    <t>Leonardo Tupinambá do Valle - CPF:***.668.842-**</t>
  </si>
  <si>
    <t>Estabelecer cooperação técnica para cessão definitiva e implementação do software SIMP - Sistema Integrado do Ministério Público, o qual constitui recurso digital essencial na gestão de processos judiciais de 1ª e 2ª instâncias, atendimentos realizados, gestão de documentos administrativos, dentre outras funcionalidades desenvolvido pelo MPMT, ao Ministério Público do Estado do Amazonas.</t>
  </si>
  <si>
    <t>DOMPE: 8/10/2025</t>
  </si>
  <si>
    <t>2025.010411</t>
  </si>
  <si>
    <t>26/09/2030</t>
  </si>
  <si>
    <t>Carlos Alexandre Nogueira dos Santos</t>
  </si>
  <si>
    <t>Formalização de parceria institucional entre o Ministério Público do Estado do Amazonas (MPAM), o Tribunal de Justiça do Estado do Amazonas (TJAM), a Defensoria Pública do Estado do Amazonas (DPE/AM) e o Estado do Amazonas, através de sua Secretaria de Estado de Segurança Pública (SSP/AM), de sua Secretaria de Estado de Administração Penitenciária (SEAP/AM) e de sua Secretaria de Estado de Justiça, Direitos Humanos e Cidadania (SEJUSC/AM), com o escopo de aperfeiçoar a aplicação do previsto no art. 22, §5º da Lei 11.340/2006</t>
  </si>
  <si>
    <t>DOMPE: 29/09/2025</t>
  </si>
  <si>
    <t>2025.012305</t>
  </si>
  <si>
    <t>27/12/2030</t>
  </si>
  <si>
    <t>1210</t>
  </si>
  <si>
    <t>Márcia Cristina de Lima Oliveira - CPF:***.108.612-**
Karla Cristina da Silva Sousa - CPF:***.363.053-**</t>
  </si>
  <si>
    <t>Disponibilização pela SEFAZ de acesso ao Sistema de Informações de Custos do Estado do Amazonas (SICA), para a implantação da gestão de custos pelo MINISTÉRIO PÚBLICO DO ESTADO DO AMAZONAS - MPAM.</t>
  </si>
  <si>
    <t>DOMPE: 26/09/2025</t>
  </si>
  <si>
    <t>2025.011899</t>
  </si>
  <si>
    <t>30/06/2030</t>
  </si>
  <si>
    <t>SECRETARIA DE ESTADO DA FAZENDA DO AMAZONAS</t>
  </si>
  <si>
    <t>04.312.377/0001-37</t>
  </si>
  <si>
    <t>Alex del Giglio - CPF:***.249.068-**</t>
  </si>
  <si>
    <t>Marcos André Abensur</t>
  </si>
  <si>
    <t>Estabelecer regime de cooperação mútua entre o Ministério Público do Estado do Amazonas ¿ MPAM, por meio da Ouvidoria da Mulher e Casos Sensíveis, e a Assembleia Legislativa do Estado do Amazonas ¿ ALEAM, por meio da Procuradoria Especial da Mulher, para viabilizar maior interoperabilidade entre as redes de apoio institucional às meninas e mulheres vítimas de violações de direitos decorrentes de subjugação de gênero, abarcando não apenas os casos de violência física, moral, psicológica, institucional, política, patrimonial, obstétrica e cibernética, mas também a negativa de acesso a Direitos Fundamentais, a fim de assegurar o pleno desenvolvimento e progresso das mulheres.</t>
  </si>
  <si>
    <t>DOMPE: 19/09/2025</t>
  </si>
  <si>
    <t>2025.006375</t>
  </si>
  <si>
    <t>19/09/2028</t>
  </si>
  <si>
    <t>ASSEMBLEIA LEGISLATIVA DO ESTADO DO AMAZONAS/ALEAM</t>
  </si>
  <si>
    <t>04.530.820/0001-46</t>
  </si>
  <si>
    <t>A promoção de condições e regras para a execução do intercâmbio de informações entre as partes, consistente no envio, pelo PROCON MANAUS, ao Ministério Público de informativo de seus processos administrativos em que se vislumbre lesão aos direitos difusos, coletivos ou individuais homogêneos dos consumidores e, em contrapartida, no envio pelo Ministério Público ao PROCON MANAUS de ementário dos termos de ajustamento de conduta firmados por seus membros em matéria consumerista, bem como informativo das ações coletivas de consumo em que haja decisão favorável ao Parquet.</t>
  </si>
  <si>
    <t>DOMPE: 18/09/2025</t>
  </si>
  <si>
    <t>2025.013234</t>
  </si>
  <si>
    <t>17/09/2027</t>
  </si>
  <si>
    <t>INSTITUTO DE DEFESA DO CONSUMIDOR (PROCON-AM)</t>
  </si>
  <si>
    <t>02.429.938/0001-57</t>
  </si>
  <si>
    <t>Sheyla Andrade dos Santos - CPF:***.616.902-**</t>
  </si>
  <si>
    <t>Implementação e execução do Projeto ESCOLA EM PAZ - JUSTIÇA RESTAURATIVA NA EDUCAÇÃO - JRE, visando atender às escolas da rede pública de ensino do município de Presidente Figueiredo/AM, para o fito de fomentar da Cultura da Paz para a prevenção e transformação de conflitos.</t>
  </si>
  <si>
    <t>DOMPE: 12/09/2025</t>
  </si>
  <si>
    <t>2025.009145</t>
  </si>
  <si>
    <t>11/09/2030</t>
  </si>
  <si>
    <t>PREFEITURA MUNICIPAL DE PRESIDENTE FIGUEIREDO</t>
  </si>
  <si>
    <t>04.628.681/0001-98</t>
  </si>
  <si>
    <t>Antonio Fernando Fontes Vieira - CPF:***.803.652-**</t>
  </si>
  <si>
    <t>Fábia Melo Barbosa de Oliveira - CPF:***.263.784-**</t>
  </si>
  <si>
    <t>DOMPE: 4/09/2025</t>
  </si>
  <si>
    <t>2025.012225</t>
  </si>
  <si>
    <t>4/09/2030</t>
  </si>
  <si>
    <t>POLÍCIA CIVIL DO ESTADO DO AMAZONAS</t>
  </si>
  <si>
    <t>04.665.345/0001-15</t>
  </si>
  <si>
    <t>Yara Rebeca Albuquerque Marinho de Paula - CPF:***.694.862-**</t>
  </si>
  <si>
    <t>Estabelecer vínculo entre o MPAM e a UNIASSELVI,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</si>
  <si>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2/09/2025</t>
  </si>
  <si>
    <t>2025.003625</t>
  </si>
  <si>
    <t>2/09/2030</t>
  </si>
  <si>
    <t>SOCIEDADE EDUCACIONAL LEONARDO DA VINCI LTDA</t>
  </si>
  <si>
    <t>01.894.432/0001-56</t>
  </si>
  <si>
    <t>Jheralmy Hastem Santos Araújo da Silva - CPF:***.994.212-**</t>
  </si>
  <si>
    <t>Cessão de uso gratuita do Sistema de Gestão de Plantões de Membros e Servidores, criado pelo Ministério Público do Estado do Pará (MPPA).</t>
  </si>
  <si>
    <t>DOMPE: 28/08/2025</t>
  </si>
  <si>
    <t>2025.004105</t>
  </si>
  <si>
    <t>28/08/2030</t>
  </si>
  <si>
    <t>MINISTÉRIO PÚBLICO DO PARÁ</t>
  </si>
  <si>
    <t>05.054.960/0001-58</t>
  </si>
  <si>
    <t>Alexandre Marcus Fonseca Tourinho</t>
  </si>
  <si>
    <t>Marlon André Mendes Bernardo</t>
  </si>
  <si>
    <t>Estabelecimento de canais para a criação conjunta de atividades para o benefício de ambas as partes, abrangendo o campo do ensino, pesquisa e atividades culturais. Instrumentalizando o supra dito, o presente Termo de Cooperação regula o oferecimento, oneroso, por parte do Centro de Estudos e Aperfeiçoamento Funcional - Escola Superior do Ministério Público, dos cursos que fazem parte de seu anexo, sem exclusão de outros cursos a serem oferecidos em momento posterior, o que se efetivará por meio de Termo Aditivo, nos moldes do ali contido.</t>
  </si>
  <si>
    <t>DOMPE: 29/08/2025</t>
  </si>
  <si>
    <t>2024.026797</t>
  </si>
  <si>
    <t>27/08/2027</t>
  </si>
  <si>
    <t>Fundo Especial de Despesa do Centro de Estudos e Aperfeicoamento Funcional do Ministerio Publico do Estado de Sao Paulo</t>
  </si>
  <si>
    <t>13.885.270/0001-79</t>
  </si>
  <si>
    <t>Tatiana Viggiani Bicudo</t>
  </si>
  <si>
    <t>Aurely Freitas Germano Penha</t>
  </si>
  <si>
    <t>DOMPE: 7/08/2025</t>
  </si>
  <si>
    <t>2025.012214</t>
  </si>
  <si>
    <t>5/08/2030</t>
  </si>
  <si>
    <t>SECRETARIA DE ESTADO DE JUSTIÇA, DIREITOS HUMANOS E CIDADANIA</t>
  </si>
  <si>
    <t>04.312.401/0001-38</t>
  </si>
  <si>
    <t>Jussara Pedrosa Celestino da Costa</t>
  </si>
  <si>
    <t>Formalizar o atendimento das solicitações para a capacitação de Promotores de Jusça e serventuários do Ministério Público do Amazonas, com a temáca eleitoral, a serem realizadas pelos serventuários do Tribunal Regional Eleitoral do Amazonas.</t>
  </si>
  <si>
    <t>DOMPE: 30/07/2025</t>
  </si>
  <si>
    <t>2025.012291</t>
  </si>
  <si>
    <t>29/07/2028</t>
  </si>
  <si>
    <t>TRIBUNAL REGIONAL ELEITORAL DO AMAZONAS</t>
  </si>
  <si>
    <t>05.959.999/0001-14</t>
  </si>
  <si>
    <t>Carla Maria Santos dos Reis</t>
  </si>
  <si>
    <t>Formalizar a participação de instituições públicas no Programa Enap Aqui, inciativa da ENAP voltada à capacitação descentralizada de servidores públicos federais, estaduais e municipais, por meio de um modelo híbrido, que combina ensino a distância (EAD) e oficinas presenciais.</t>
  </si>
  <si>
    <t>2025.014166</t>
  </si>
  <si>
    <t>16/07/2027</t>
  </si>
  <si>
    <t>ESCOLA NACIONAL DE ADMINISTRAÇÃO PÚBLICA</t>
  </si>
  <si>
    <t>00.627.612/0001-09</t>
  </si>
  <si>
    <t>Cessão definitiva, pelo Ministério Público da Paraíba (MPPB), do direito de uso dos sistemas MPVirtual, Diário Oficial Eletrônico e Gestão de Pessoas (GEP) para o Ministério Público do Estado do Amazonas (MPAM).</t>
  </si>
  <si>
    <t>DOMPE: 25/07/2025</t>
  </si>
  <si>
    <t>2025.003421</t>
  </si>
  <si>
    <t>24/07/2027</t>
  </si>
  <si>
    <t>MINISTÉRIO PUBLICO DO ESTADO DA PARAIBA</t>
  </si>
  <si>
    <t>09.284.001/0001-80</t>
  </si>
  <si>
    <t>Antônio Hortêncio Rocha Neto</t>
  </si>
  <si>
    <t>Cessão, pelo MPDFT, do software Sistema Eleitoral  VOTUS, de sua criação, para a administração e realização de eleições no MPAM.</t>
  </si>
  <si>
    <t>DOMPE: 9/07/2025</t>
  </si>
  <si>
    <t>2025.005017</t>
  </si>
  <si>
    <t>25/05/2030</t>
  </si>
  <si>
    <t>Georges Carlos Fredderico Moreira Seigneur</t>
  </si>
  <si>
    <t>A adesão da instituição partícipe aos termos do PROTOCOLO DE INTENÇÕES SEI nº 0743090, que tem por finalidade a colaboração para oferta aberta de cursos autoinstrucionais disponibilizados pela Enap na Plataforma EV.G.</t>
  </si>
  <si>
    <t>DOMPE: 3/07/2025</t>
  </si>
  <si>
    <t>2021.016892</t>
  </si>
  <si>
    <t>31/07/2028</t>
  </si>
  <si>
    <t>Betânia Lemos</t>
  </si>
  <si>
    <t>Consolidar os esforços entre a VENTURE HUB e o MPAM para a execução conjunta de atividades voltadas ao empreendedorismo inovador, inovação aberta, aceleração de startups, ativação de ecossistemas, pesquisa, desenvolvimento e inovação (PD&amp;I) em Tecnologia da Informação e Comunicação (TIC), além de ações de pesquisa, extensão e formação continuada de membros e servidores do MPAM.</t>
  </si>
  <si>
    <t>DOMPE: 25/06/2025</t>
  </si>
  <si>
    <t>2024.021854</t>
  </si>
  <si>
    <t>VENTURE HUB MANAUS S/A</t>
  </si>
  <si>
    <t>35.725.186/0001-20</t>
  </si>
  <si>
    <t>Pedro Henrique Pimentel de Sousa - CPF:***.866.918-**</t>
  </si>
  <si>
    <t>Jefferson Neves de Carvalho</t>
  </si>
  <si>
    <t>Cessão de soluções de inteligência arficial criadas pelo MPDFT, para o aprimoramento do ambiente tecnológico do MPAM, conforme especificações estabelecidas no plano de trabalho.</t>
  </si>
  <si>
    <t>DOMPE: 10/06/2025</t>
  </si>
  <si>
    <t>2025.009686</t>
  </si>
  <si>
    <t>GEORGES CARLOS FREDDERICO
MOREIRA SEIGNEUR</t>
  </si>
  <si>
    <t>A cooperação acadêmica e técnica entre os partícipes, com a finalidade de integração institucional, com ênfase na pesquisa jurídica e na realização de atividades acadêmicas, notadamente fóruns, eventos, conferências, seminários, encontros, debates e palestras, no formato remoto (com transmissão síncrona) e/ou EaD (aulas na modalidade Educação a Distância).</t>
  </si>
  <si>
    <t>DOMPE: 11/06/2025</t>
  </si>
  <si>
    <t>2023.023219</t>
  </si>
  <si>
    <t>MINISTÉRIO PUBLICO DO ESTADO DO RIO DE JANEIRO</t>
  </si>
  <si>
    <t>28.305.936/0001-40</t>
  </si>
  <si>
    <t>Antônio José Campos Moreira</t>
  </si>
  <si>
    <t>PROTOCOLO DE INTENÇÕES</t>
  </si>
  <si>
    <t>Envidar, de forma conjunta, os esforços necessários para a implementação e o desenvolvimento do Programa "Antes que Aconteça", que tem o objetivo de apoiar e estruturar políticas de acesso à justiça, segurança, garantia e promoção de direitos, inovação, pesquisa, produção de dados, inclusão produtiva, formação, autonomia, conscientização e defesa feminina, especialmente por meio da estruturação de salas de atendimento especializado em delegacias, estruturas do Sistema de Justiça e em outros equipamentos com vistas à prevenção, ao enfrentamento e à superação da violência contra a mulher no Brasil.</t>
  </si>
  <si>
    <t>DOMPE: 27/05/2025</t>
  </si>
  <si>
    <t>2025.009528</t>
  </si>
  <si>
    <t>Implementação e execução do Projeto ESCOLA EM PAZ  JUSTIÇA RESTAURATIVA NA EDUCAÇÃO  JRE visando atender às escolas da rede pública de ensino do município de Itamarati/AM, para o fito de fomentar da Cultura da Paz para a prevenção e transformação de conflitos.</t>
  </si>
  <si>
    <t>2025.001812</t>
  </si>
  <si>
    <t>PREFEITURA MUNICIPAL DE ITAMARATI</t>
  </si>
  <si>
    <t>04.628.376/0001-04</t>
  </si>
  <si>
    <t>João Medeiros Campêlo - CPF:***.917.922-**</t>
  </si>
  <si>
    <t>TERMO DE PARCERIA</t>
  </si>
  <si>
    <t>Cooperação técnico-administrativa entre o SENAC/AM e o MPAM, que visam à realização de atividades de EDUCAÇÃO PROFISSIONAL na modalidade Habilitação Técnica e Formação Inicial e Continuada (FIC), nos segmentos de gestão e comércio, beleza, asseio, conservação e zeladoria, saúde e gastronomia, por intermédio dos cursos oriundos do Programa Senac de Gratuidade (PSG), para atender as mulheres vítimas de violência domésticas do MP POR ELAS  PROJETO AURORA".</t>
  </si>
  <si>
    <t>2025.007955</t>
  </si>
  <si>
    <t>SERVIÇO NACIONAL DE APRENDIZAGEM COMERCIAL</t>
  </si>
  <si>
    <t>03.965.450/0007-00</t>
  </si>
  <si>
    <t>Jocemilda da Silva Viana - CPF:***.119.122-**</t>
  </si>
  <si>
    <t>Adesão do MPAM ao Mapa Estratégico do Planejamento Estratégico Nacional do Ministério Público (PEN-MP 2020/2029), em sua totalidade, com a consequente cooperação entre as partes.</t>
  </si>
  <si>
    <t>DOMPE: 14/05/2025</t>
  </si>
  <si>
    <t>2025.001394</t>
  </si>
  <si>
    <t>31/12/2030</t>
  </si>
  <si>
    <t>Moacyr Rey Filho</t>
  </si>
  <si>
    <t>Janice Queiroz de Oliveira</t>
  </si>
  <si>
    <t>Cessão do direito de uso, em caráter gratuito, não exclusivo e intransferível, do programa de computador denominado Athenas - Soluções Integradas, ao Ministério Público do Estado do Amazonas, mediante participação no Comitê Técnico de Gestão e Desenvolvimento do Athenas (AthenasLab).</t>
  </si>
  <si>
    <t>2025.003504</t>
  </si>
  <si>
    <t>12/05/2029</t>
  </si>
  <si>
    <t>MINISTÉRIO PÚBLICO DO ESTADO DO TOCANTINS</t>
  </si>
  <si>
    <t>01.786.078/0001-46</t>
  </si>
  <si>
    <t>Abel Andrade Leal Júnior</t>
  </si>
  <si>
    <t>Desenvolvimento de programas, projetos, atividades de pesquisa, extensão, ensino, atividades práticas e condições básicas para realização de Estágio Supervisionado (Obrigatório e Não Obrigatório), visando atender às necessidades da comunidade acadêmica, considerando as áreas de conhecimento e de interesse das respectivas instituições.</t>
  </si>
  <si>
    <t>DOMPE: 9/05/2025</t>
  </si>
  <si>
    <t>2025.005828</t>
  </si>
  <si>
    <t>9/05/2030</t>
  </si>
  <si>
    <t>UNIVERSIDADE DO ESTADO DO AMAZONAS</t>
  </si>
  <si>
    <t>04.280.196/0001-76</t>
  </si>
  <si>
    <t>ANDRÉ LUIZ NUNES ZOGAHIB - CPF:***.395.752-**</t>
  </si>
  <si>
    <t>Yara Rebeca Albuquerque Marinho de Paula - CPF: ***.694.862-**</t>
  </si>
  <si>
    <t>Termo de Adesão ao Acordo Institucional n.º 06/2025 - CNMP, que define os parâmetros para que o CNMP negocie condições comerciais de produtos e serviços de tecnologia da informação ofertados pelo SERPRO, consolidados em uma TABELA DE REFERÊNCIA a ser disponibilizada, conforme os termos e condições do referido ajuste.</t>
  </si>
  <si>
    <t>DOE: 6/05/2025
DOMPE: 6/05/2025</t>
  </si>
  <si>
    <t>2025.006534</t>
  </si>
  <si>
    <t>24/04/2030</t>
  </si>
  <si>
    <t>Formalização das intenções dos partícipes para colaborar na realização de ações e implementação de estratégias que fortaleçam o Ministério Público do Estado do Amazonas na promoção do enfrentamento à violência doméstica e intrafamiliar contra as mulheres.</t>
  </si>
  <si>
    <t>DOMPE: 10/04/2025</t>
  </si>
  <si>
    <t>2025.008154</t>
  </si>
  <si>
    <t>17/02/2027</t>
  </si>
  <si>
    <t>Ângelo Fabiano Farias da Costa</t>
  </si>
  <si>
    <t>Formalização das intenções dos partícipes para colaboração na realização de ações e implementação de estratégias que fortaleçam a atuação do Ministério Público na defesa e promoção da educação infantil.</t>
  </si>
  <si>
    <t>2025.008157</t>
  </si>
  <si>
    <t>Firmar parceria entre o Ministério Público do Estado do Amazonas (MPAM) e a Faculdade Martha Falcão (FMF) com fito de disponibilizar as ações de atendimento ao público realizadas pelos Núcleos Acadêmicos dos Cursos de Administração, Direito e Psicologia, às pessoas atendidas no Programa de Atenção às Pessoas em Situação de Vulnerabilidade Psicossocial - RECOMEÇAR, sediado no Prédio Anexo do MPAM. Em contrapartida a FMF poderá encaminhar até três alunos, por semestre, para realização de estágio acadêmico (sem remuneração) no âmbito do Programa.</t>
  </si>
  <si>
    <t>DOMPE: 29/01/2025</t>
  </si>
  <si>
    <t>2024.026778</t>
  </si>
  <si>
    <t>28/01/2027</t>
  </si>
  <si>
    <t>Faculdade Martha Falcão Wyden</t>
  </si>
  <si>
    <t>02.153.389/0001-30</t>
  </si>
  <si>
    <t>Carla Sena Batista - CPF:***.775.662-**</t>
  </si>
  <si>
    <t>Tatiana Almeida Freire de Souza – CPF:***.353.262-**</t>
  </si>
  <si>
    <t>TERMO DE CONVÊNIO</t>
  </si>
  <si>
    <t>O presente contrato tem por objeto o licenciamento de uso, no território nacional, não oneroso, sem fins comerciais, do programa de computador denominado ChatTCU, solução de tecnologia da informação desenvolvida pelo licenciante.</t>
  </si>
  <si>
    <t>DOMPE: 19/12/2024</t>
  </si>
  <si>
    <t>2024.017956</t>
  </si>
  <si>
    <t>Tribunal de Contas da União</t>
  </si>
  <si>
    <t>00.414.607/0001-18</t>
  </si>
  <si>
    <t>Rainério Rodrigues Leite</t>
  </si>
  <si>
    <t>Leandro Viana Meneghini
Genner Ramos Maia</t>
  </si>
  <si>
    <t>O presente Acordo de Cooperação Técnica tem por objeto a habilitação e criação de perfil de CONSULTOR no sistema PROJUDI para servidor do Ministério Público do Estado do Amazonas previamente designado.</t>
  </si>
  <si>
    <t>2024.025426</t>
  </si>
  <si>
    <t>Nélia Caminha Jorge</t>
  </si>
  <si>
    <t>Tadeu Azevedo de Medeiros
Leandro Viana Meneghini</t>
  </si>
  <si>
    <t>Adesão do Ministério Público do Estado do Amazonas ao Acordo de Cooperação Técnica nº 011/2024 - CNMP, cujo objeto é a utilização dos serviços disponíveis na Plataforma MP Digital pelo aderente, conforme regulamentado pelo artigo 7º da Resolução CNMP nº 276, de 28 de novembro de 2023.</t>
  </si>
  <si>
    <t>DOMPE: 12/12/2024</t>
  </si>
  <si>
    <t>2024.024699</t>
  </si>
  <si>
    <t>Cley Barbosa Martins – CPF: ***.932.512-**; Darlan Benevides de Queiroz – CPF: ***.735.832-**</t>
  </si>
  <si>
    <t>TERMO DE CESSÃO DE USO DE IMÓVEL</t>
  </si>
  <si>
    <t>Constituem objeto do presente Termo de Cessão de Uso duas salas do imóvel localizado na Av. Joaquim Nabuco, nº 1193, Centro, Manaus/AM, pertencente ao patrimônio público da Secretaria de Estado de Energia, Mineração e Gás - SEMIG/AM.</t>
  </si>
  <si>
    <t>DOMPE: 26/11/2024</t>
  </si>
  <si>
    <t>2024.017915</t>
  </si>
  <si>
    <t>Secretaria de Estado de Energia, Mineraçaõ e Gás - SEMIG/AM</t>
  </si>
  <si>
    <t>51.999.904/0001-03</t>
  </si>
  <si>
    <t>Ronney César Campos Peixoto - CPF:***.311.702-**</t>
  </si>
  <si>
    <t>Em designação</t>
  </si>
  <si>
    <t>Este acordo de cooperação técnica tem por objeto a concessão de acesso ao Sistema de Automação da Justiça (SAJ-PG5) a servidor(es) designado(s) pelo Ministério Público do Estado doAmazonas, visando ao apoio no exercício das atividades institucionais do Parquet.</t>
  </si>
  <si>
    <t>DOMPE: 25/11/2024</t>
  </si>
  <si>
    <t>2024.022768</t>
  </si>
  <si>
    <t>A articulação, a interação e a conjugação de esforços entre as partes celebrantes, com o fito de uma melhor implementação de suas atribuições legais, e, em especial, proporcionar ao Ministério Público do Estado do Amazonas - MP/AM auxílio técnico-científico, na área de Nutrição.</t>
  </si>
  <si>
    <t>DOMPE: 11/11/2024</t>
  </si>
  <si>
    <t>2023.006595</t>
  </si>
  <si>
    <t>CONSELHO REGIONAL DE NUTRICIONISTAS DA 7.ª REGIÃO (PA - AC - AM - AP - RO  RR)</t>
  </si>
  <si>
    <t>34.918.342/0001-07</t>
  </si>
  <si>
    <t>Yonah Lêda Vieira Figueira - CPF:***.712.722-**</t>
  </si>
  <si>
    <t>Cláudia Maria Raposo da Câmara - CPF:***.375.232-**</t>
  </si>
  <si>
    <t>Fortalecimento da cooperação técnica interinstitucional entre os partícipes, visando estabelecer formas de colaboração, com a finalidade de ampliar as ações de articulação referentes à proteção do patrimônio público, à defesa da probidade administrativa, à prevenção e combate à corrupção, à lavagem de dinheiros e aos demais crimes afins.</t>
  </si>
  <si>
    <t>DOMPE: 29/10/2024</t>
  </si>
  <si>
    <t>2022.023706</t>
  </si>
  <si>
    <t>29/10/2024</t>
  </si>
  <si>
    <t>29/10/2029</t>
  </si>
  <si>
    <t>MINISTÉRIO PUBLICO MILITAR</t>
  </si>
  <si>
    <t>26.989.715/0004-55</t>
  </si>
  <si>
    <t>CLAURO ROBERTO DE BORTOLLI</t>
  </si>
  <si>
    <t>Leonardo Tupinambá do Valle – CPF:***.668.842-**</t>
  </si>
  <si>
    <t>Firmar parceria entre o Ministério Público do Estado do Amazonas e o Centro de Educação Tecnológica do Amazonas - CETAM, com fito de disponibilizar vagas nos cursos ofertados pelo CETAM aos jovens e adultos atendidos no Programa de Atenção às Pessoas em Situação de Vulnerabilidade Psicossocial - RECOMEÇAR.</t>
  </si>
  <si>
    <t>DOMPE: 22/10/2024</t>
  </si>
  <si>
    <t>2023.018341</t>
  </si>
  <si>
    <t>21/10/2024</t>
  </si>
  <si>
    <t>21/10/2029</t>
  </si>
  <si>
    <t>CENTRO DE EDUCAÇÃO TECNOLÓGICA DO AMAZONA-CETAM</t>
  </si>
  <si>
    <t>05.846.254/0001-49</t>
  </si>
  <si>
    <t xml:space="preserve">Fabio Henrique dos Santos Albuquerque - CPF:***.593.132-**
</t>
  </si>
  <si>
    <t>Termo de Adesão do Ministério Público do Estado do Amazonas ao Acordo de Cooperação Técnica nº 061/2023 - TJAM, visando à implantação dos Pontos de Inclusão Digital (PID) para categoria Nível 2, nos moldes preconizados pela Resolução CNJ n° 508 de 22 de junho de 2023.</t>
  </si>
  <si>
    <t>DOMPE: 15/10/2024</t>
  </si>
  <si>
    <t>2023.022981</t>
  </si>
  <si>
    <t>10/10/2024</t>
  </si>
  <si>
    <t>14/12/2028</t>
  </si>
  <si>
    <t>André Lavareda Fonseca – CPF:***.487.982-**</t>
  </si>
  <si>
    <t>A prorrogação do Acordo de Cooperação Técnica nº 049/2023 - TJAM, pelo período de 48 (quarenta e oito) meses, a contar de 09 de outubro de 2024; e a inclusão do Ministério Público do Estado do Amazonas no rol de partícipes.</t>
  </si>
  <si>
    <t>DOMPE: 10/10/2024</t>
  </si>
  <si>
    <t>2024.018790</t>
  </si>
  <si>
    <t>9/10/2024</t>
  </si>
  <si>
    <t>9/10/2028</t>
  </si>
  <si>
    <t>Cláudia Maria Raposo da Câmara – CPF:***.375.232-**</t>
  </si>
  <si>
    <t>O estabelecimento de mútua cooperação entre os signatários, visando ao intercâmbio de tecnologia e inovação, conhecimentos e bases dedados, e o desenvolvimento conjunto de projetos e iniciativas que possibilitem a articulação entre os partícipes em boas práticas relacionadas à Lei Federal nº. 13.709/2018.</t>
  </si>
  <si>
    <t>DOMPE: 8/10/2024</t>
  </si>
  <si>
    <t>2024.012553</t>
  </si>
  <si>
    <t>01.671.187/0001-18</t>
  </si>
  <si>
    <t>NÉLIA CAMINHA JORGE; DAVID ANTÔNIO ABISAI PEREIRA DE ALMEIDA; JOÃO DE JESUS ABDALA SIMÕES; AUDALIPHAL HILDEBRANDO DA SILVA; JEIBSON DOS SANTOS JUSTINIANO; JEAN CLEUTER SIMÕES MENDONÇA; YARA AMAZÔNIA LINS RODRIGUES; ALBERTO RODRIGUES DO NASCIMENTO JÚNIOR; LINCOLN NUNES DA SILVA; MARCUS VINICIUS OLIVEIRA DE ALMEIDA; SYLVIO MÁRIO PUGA FERREIRA; ANDRÉ LUIZ NUNES ZOGAHIB; BRUNO DE PAULA FRAGA; RAFAEL VINHEIRO MONTEIRO BARBOSA; GIORDANO BRUNO COSTA DA CRUZ.</t>
  </si>
  <si>
    <t>Estabelecer colaboração no sentido de divulgar, em monitores eletrônicos do interior dos ônibus, chamados "TV BUSÃO", cartazes sobre pessoas desaparecidas enviados pela equipe do Núcleo de Localização e Identificação de Desaparecidos - Nulid, contendo fotografias, nome, idade e data de desaparecimento, além dos contatos do núcleo.</t>
  </si>
  <si>
    <t xml:space="preserve">DOMPE: 30/09/2024
</t>
  </si>
  <si>
    <t>2024.018204</t>
  </si>
  <si>
    <t>Sindicato das Empresas de Transporte de Passageiros do Estado do Amazonas</t>
  </si>
  <si>
    <t>04.603.197/0001-04</t>
  </si>
  <si>
    <t xml:space="preserve">César Tadeu Teixeira - CPF:***.534.966-**
</t>
  </si>
  <si>
    <t>Aguardando Portaria</t>
  </si>
  <si>
    <t>O acesso dos membros deste Ministério Público ao sistema Consulta Criminal Nacional, desenvolvido e disponibilizado pelo Conselho Nacional de Justiça - CNJ.</t>
  </si>
  <si>
    <t xml:space="preserve">DOMPE: 10/09/2024
</t>
  </si>
  <si>
    <t>2024.013682</t>
  </si>
  <si>
    <t>PAULO GUSTAVO GONET BRANCO</t>
  </si>
  <si>
    <t>Reinaldo Alberto Nery de Lima - CPF: ***.280.042-**</t>
  </si>
  <si>
    <t>Dispor das responsabilidades, deveres e obrigações que o ADERENTE assume ao prosseguir com o preenchimento e assinatura deste Termo de Adesão, para utilização do Serviço de Certidão Digital aos cartórios de Registro de Imóveis.</t>
  </si>
  <si>
    <t xml:space="preserve">DOMPE: 2/08/2024
</t>
  </si>
  <si>
    <t>2023.024274</t>
  </si>
  <si>
    <t>21/02/2029</t>
  </si>
  <si>
    <t>OPERADOR NACIONAL DO SISTEMA DE REGISTRO ELETRÔNICO DE IMÓVEIS - ONR</t>
  </si>
  <si>
    <t>37.318.313/0001-00</t>
  </si>
  <si>
    <t xml:space="preserve">Igor Starling Peixoto - CPF:***.842.201-**
</t>
  </si>
  <si>
    <t>Execução conjunta de projetos de empreendedorismo inovador, pesquisa, desenvolvimento e inovação (PD&amp;I) em tecnologia da informação e comunicação (TIC).</t>
  </si>
  <si>
    <t xml:space="preserve">DOMPE: 5/08/2024
</t>
  </si>
  <si>
    <t>2024.005467</t>
  </si>
  <si>
    <t>ASSOCIAÇÃO PARA PROMOÇÃO DA EXCELÊNCIA DO SOFTWARE BRASILEIRO - SOFTEX,</t>
  </si>
  <si>
    <t>01.679.152/0002-06</t>
  </si>
  <si>
    <t xml:space="preserve">Diônes dos Santos Lima - CPF:***.270.446-**
Nelson Luiz Falseti Filho - CPF:***.385.758-**
</t>
  </si>
  <si>
    <t xml:space="preserve">André Lavareda Fonseca - CPF:***.487.982-**
Francisco Edinaldo Lira de Carvalho - CPF:***.262.712-**
</t>
  </si>
  <si>
    <t>Fomento da aplicação da Lei 13.431/2017 em todas as Comarcas do Estado, ajustando fluxos pertinentes, considerando a necessidade de minimizar os danos causados às crianças e aos adolescentes vítimas de violência nas suas múltiplas naturezas, valorizando a sua palavra e dignificando a importância de se estabelecer uma articulação interinstitucional para uma efetiva proteção aos direitos das crianças e adolescentes.</t>
  </si>
  <si>
    <t xml:space="preserve">DOMPE: 15/08/2024
</t>
  </si>
  <si>
    <t>24/07/2029</t>
  </si>
  <si>
    <t>Disciplinar a cessão do Sistema de Investigação de Registros Telefônicos e Telemáticos (SITTEL), versão MPRS, e o acesso a registros de portabilidade e numeração das Operadoras.</t>
  </si>
  <si>
    <t xml:space="preserve">DOMPE: 19/08/2024
</t>
  </si>
  <si>
    <t>2023.027607</t>
  </si>
  <si>
    <t>7/08/2029</t>
  </si>
  <si>
    <t>MINISTÉRIO PÚBLICO DO ESTADO DO RIO GRANDE DO SUL</t>
  </si>
  <si>
    <t>93.802.833/0001-57</t>
  </si>
  <si>
    <t xml:space="preserve">ALEXANDRE SIKINOWSKI SALTZ - CPF:***.295.970-**
</t>
  </si>
  <si>
    <t>Adesão ao ACT nº 22/2023- STJ/CNMP, visando à conjugação de esforços para a racionalização da tramitação dos processos relacionados aos órgãos do Ministério Público da União e dos Estados vinculados ao CNMP.</t>
  </si>
  <si>
    <t xml:space="preserve">DOMPE: 21/08/2024
</t>
  </si>
  <si>
    <t>2024.017961</t>
  </si>
  <si>
    <t>19/08/2029</t>
  </si>
  <si>
    <t>Daniel Leite Brito - CPF: ***.430.422-**</t>
  </si>
  <si>
    <t>A troca direta de informações entre os cooperantes, mediante a criação de fluxos simplificados para troca de informação e expertise relacionadas ao Sistema Prisional do Estado do Amazonas e treinamentos conjuntos para membros e servidores dos cooperados.</t>
  </si>
  <si>
    <t>2023.012999</t>
  </si>
  <si>
    <t>20/08/2029</t>
  </si>
  <si>
    <t>SECRETARIA DE ESTADO DE ADMINISTRAÇÃO PENITENCIÁRIA - SEAP</t>
  </si>
  <si>
    <t xml:space="preserve">YARA AMAZÔNIA LINS RODRIGUES DOS SANTOS - CPF:***.918.012-**
PAULO CÉSAR GOMES DE OLIVEIRA JÚNIOR - CPF:***.086.919-**
</t>
  </si>
  <si>
    <t>Estabelecimento de condições de cooperação entre os partícipes com vistas ao desenvolvimento permanente do Portal das Fundações e do Sistema Informatizado para Prestações de Contas (SIPREC).</t>
  </si>
  <si>
    <t xml:space="preserve">DOMPE: 23/08/2024
</t>
  </si>
  <si>
    <t>2021.018433</t>
  </si>
  <si>
    <t>22/08/2029</t>
  </si>
  <si>
    <t>MINISTÉRIO PÚBLICO DO ESTADO DE MATO GROSSO DO SUL</t>
  </si>
  <si>
    <t>03.983.541/0001-75</t>
  </si>
  <si>
    <t>Romão Ávila Milhan Júnior</t>
  </si>
  <si>
    <t xml:space="preserve">Lauro Tavares da Silva - CPF:***.973.712-**
</t>
  </si>
  <si>
    <t>Constitui objeto do presente acordo a promoção de condições e regras para a execução do intercâmbio de informações entre as partes, consistente no envio, pelo PROCON-AM, ao Ministério Público de informativo de seus processos administrativos em que se vislumbre lesão aos direitos difusos, coletivos ou individuais homogêneos dos consumidores e, em contrapartida, no envio pelo Ministério Público ao PROCON-AM de ementário dos termos de ajustamento de conduta firmados por seus membros em matéria consumerista, bem como informativo das ações coletivas de consumo em que haja decisão favorável ao Parquet.</t>
  </si>
  <si>
    <t xml:space="preserve">DOMPE: 10/07/2024
</t>
  </si>
  <si>
    <t>2023.010699</t>
  </si>
  <si>
    <t>9/07/2026</t>
  </si>
  <si>
    <t>JALIL FRAXE CAMPOS</t>
  </si>
  <si>
    <t xml:space="preserve">DELISA OLÍVIA VIEIRALVES FERREIRA - CPF:***.730.152-**
</t>
  </si>
  <si>
    <t>O presente instrumento tem como objetivo a cooperação técnico-científica e cultural e o intercâmbio de conhecimentos, informações e experiências, visando à formação, ao aperfeiçoamento e à especialização técnica de recursos humanos, bem como ao desenvolvimento institucional.</t>
  </si>
  <si>
    <t>2023.014266</t>
  </si>
  <si>
    <t>15/12/2026</t>
  </si>
  <si>
    <t>TRIBUNAL REGIONAL DO TRABALHO DA 11ª REGIÃO</t>
  </si>
  <si>
    <t>RUTH BARBOSA SAMPAIO; CAROLINA DE SOUZA LACERDA AIRES FRANÇA</t>
  </si>
  <si>
    <t>João Gaspar Rodrigues – CPF:***.201.903-**</t>
  </si>
  <si>
    <t>Aderir ao Pacto Nacional pela Consciência Vacinal, comprometendo-se a apoiar, na forma e condições estabelecidas, as ações e os objetivos delineados no referido ajuste.</t>
  </si>
  <si>
    <t>2023.021376</t>
  </si>
  <si>
    <t>23/05/2029</t>
  </si>
  <si>
    <t>JAYME MARTINS DE OLIVEIRA NETO</t>
  </si>
  <si>
    <t>TERMO DE CESSÃO DE USO</t>
  </si>
  <si>
    <t>Cessão de uso do imóvel de propriedade do CEDENTE, situado na Avenida 19 de dezembro, nº 1.068, Bairro Centro, no município de Novo Aripuanã, Estado do Amazonas, CEP: 69.260-000, para utilização pelo CESSIONÁRIO, para funcionamento da(s) Promotoria(s) de Justiça da Comarca, órgão(s) integrante(s) do Ministério Público do Estado do Amazonas.</t>
  </si>
  <si>
    <t xml:space="preserve">DOMPE: 18/07/2024
</t>
  </si>
  <si>
    <t>2024.008780</t>
  </si>
  <si>
    <t>15/07/2029</t>
  </si>
  <si>
    <t>PREFEITURA MUNICIPAL DE NOVO ARIPUANÃ</t>
  </si>
  <si>
    <t xml:space="preserve">JOCIONE DOS SANTOS SOUZA - CPF:***.436.012-**
</t>
  </si>
  <si>
    <t>Jéssica Vitoriano Gomes - CPF:***.603.272-**
Caroline Ellen Bezerra – CPF:***.381.492-**</t>
  </si>
  <si>
    <t>Estabelecimento e cooperação técnica na área de tecnologia, a ser densenvolvida por meio da cessão de solução de extração de dados e visualizações de informações sobre o SAJ-MP.</t>
  </si>
  <si>
    <t xml:space="preserve">DOMPE: 25/07/2024
</t>
  </si>
  <si>
    <t>2022.016505</t>
  </si>
  <si>
    <t>Ministério Público do Estado do Ceará</t>
  </si>
  <si>
    <t>06.928.790/0001-56</t>
  </si>
  <si>
    <t>HALEY DE CARVALHO FILHO</t>
  </si>
  <si>
    <t>Leandro Viana Meneghini - CPF:***.340.202-**
Tadeu Azevedo de Medeiros – CPF:***.132.332-**</t>
  </si>
  <si>
    <t>O presente Convênio tem por objeto estabelecer condições gerais e demais critérios a serem observados na concessão de empréstimos com pagamento mediante consignação em folha de pagamento, aos servidores/membros ativos do Ministério Público do Estado do Amazonas, com vínculo estatutário formalizado e vigente.</t>
  </si>
  <si>
    <t>DOMPE: 1/07/2024</t>
  </si>
  <si>
    <t>2023.004195</t>
  </si>
  <si>
    <t>27/06/2029</t>
  </si>
  <si>
    <t>COOPERATIVA DE CRÉDITO, POUPANÇA E INVESTIMENTO VALE DO CERRADO  SICREDI VALE DO CERRADO</t>
  </si>
  <si>
    <t>32.983.165/0001-17</t>
  </si>
  <si>
    <t>RUDINEI EDILSON KRONBAUER - CPF:***.188.269-**</t>
  </si>
  <si>
    <t>Augusto dos Santos Araújo - CPF:***.969.702-**</t>
  </si>
  <si>
    <t>A execução de desenvolvimento de pesquisas, estudos e análises, além de ações de formação e capacitação com foco em temas relacionados aos direitos humanos, à cidadania e a Justiça Social nos municípios da Amazônia Legal. O presente Acordo visa estabelecer a cooperação técnico-científica e o intercâmbio de conhecimentos e contribuir para o desenvolvimento do Observatório Nacional de Direitos Humanos (ObservaDH) e para a Rede Nacional de Evidências em Direitos Humanos (ReneDH) do MDHC e para o Projeto IDH+, do MPAM. O presente Acordo será executado no Ministério dos Direitos Humanos e da Cidadania e no Ministério Público do Estado do Amazonas, conforme estabelecido no plano de trabalho em anexo, que especifica interesse público e recíproco dos envolvidos na parceria.</t>
  </si>
  <si>
    <t>DOMPE: 25/06/2024</t>
  </si>
  <si>
    <t>2024.006260</t>
  </si>
  <si>
    <t>25/06/2027</t>
  </si>
  <si>
    <t>Ministério dos Direitos Humanos e da Cidadania</t>
  </si>
  <si>
    <t>27.136.980/0001-00</t>
  </si>
  <si>
    <t>SILVIO LUIZ DE ALMEIDA</t>
  </si>
  <si>
    <t>Bruno Cordeiro Lorenzi - CPF:***.999.370-**</t>
  </si>
  <si>
    <t>A ampliação da comunicação entre o Cade e o Ministério Público, com vistas a imprimir maior agilidade e efetividade nas ações de repressão às práticas de cartel e outras infrações à ordem econômica e às relações de consumo previstas nos arts. 4º e 7º da Lei nº 8.137/1990 e 36 da Lei nº 12.529/2011; II A troca de informações e documentos quando da apuração de práticas de cartel e demais infrações, respeitadas as prerrogativas e atribuições e limitações legais cometidas ao Cade e ao Ministério Público; e III ¿ O desenvolvimento e aprimoramento das técnicas e procedimentos empregados na apuração de práticas de cartel e outras previstas na Lei nº 12.529/2011 e na Lei nº 8.137/1990.</t>
  </si>
  <si>
    <t>DOMPE: 10/07/2024</t>
  </si>
  <si>
    <t>2024.012927</t>
  </si>
  <si>
    <t>24/06/2029</t>
  </si>
  <si>
    <t>CONSELHO ADMINISTRATIVO DE DEFESA ECONOMICA</t>
  </si>
  <si>
    <t>00.418.993/0001-16</t>
  </si>
  <si>
    <t>Alexandre Cordeiro Macedo</t>
  </si>
  <si>
    <t>Sheyla Andrade dos Santos – CPF:***.616.902-**</t>
  </si>
  <si>
    <t>Constituem o objeto do presente acordo em especial no que diz respeito à garantia de atendimento e observância das coberturas legais e contratuais para assegurar a assistência à saúde por planos privados: a) O estreitamento do relacionamento institucional entre os partícipes, de modo a oportunizar o fornecimento e o intercâmbio de informações relacionadas à regulação do mercado de assistência suplementar à saúde, com a finalidade de identificação de problemas do mercado de saúde suplementar no âmbito local, respeitadas as prerrogativas e atribuições legais e observadas as regras de sigilo constantes da legislação aplicável; b) A ampla cooperação técnica e científica, no âmbito do mercado de assistência suplementar à saúde, podendo-se incluir a organização de grupos de trabalho para o aprimoramento dos órgãos das Partes, bem como a participação recíproca em seminários, palestras, treinamentos ou outros eventos, entre outros projetos de interesse comum, dentre os quais se incluem publicações; c) A promoção de uma atuação integrada, com vistas a garantir a proteção e defesa dos direitos do consumidor de planos privados de assistência à saúde, estimulando a resolução de conflitos de forma amigável e o intercâmbio de informações que sirvam para melhorar o desempenho da atividade regulatória pela ANS e reduzir demandas judiciais relacionadas à saúde suplementar; e d) A contribuição para o aperfeiçoamento dos instrumentos de monitoramento e regulação do mercado de saúde suplementar, a partir do compartilhamento de dados de identificação do perfil de consumo e das demandas registradas nas instituições partícipes, vedado o repasse de informações abrigadas por sigilo profissional ou pela garantia da privacidade dos agentes regulados, que possam com prometer o direito à imagem do beneficiário/consumidor ou prejudicar os negócios privados, salvo expressa autorização.</t>
  </si>
  <si>
    <t>2023.028778</t>
  </si>
  <si>
    <t>14/06/2027</t>
  </si>
  <si>
    <t>AGÊNCIA NACIONAL DE SAÚDE SUPLEMENTAR</t>
  </si>
  <si>
    <t>03.589.068/0001-46</t>
  </si>
  <si>
    <t>ELIANE APARECIDA DE CASTRO MEDEIROS</t>
  </si>
  <si>
    <t>Sheyla Andrade dos Santos - CPF:***.616.902-**
Lincoln Alencar de Queiroz - CPF:***.381.142-**</t>
  </si>
  <si>
    <t>Os Participantes em conformidade com suas respectivas leis, regulamentos e políticas nacionais pretendem colaborar e cooperar em investigações criminais relativas a suspeitas de atividades criminosas envolvendo o uso de documentos de viagem e identidade fraudulentos, incluindo vistos e passaportes, e outras formas de fraude de documentos de viagem ou de identidade e crimes associados e apoiados pela produção, distribuição e uso de documentos de viagem e identidade fraudulentos, incluindo atividades criminosas que envolvam: terrorismo, crime organizado transnacional, corrupção, tráfico humano, contrabando de pessoas (facilitação, transporte, tentativa de transporte ou entrada ilegal), tráfico de drogas e lavagem de dinheiro.</t>
  </si>
  <si>
    <t>2022.024118</t>
  </si>
  <si>
    <t>11/06/2029</t>
  </si>
  <si>
    <t>EMBAIXADA DOS ESTADOS UNIDOS DA AMERICA EM BRASILIA</t>
  </si>
  <si>
    <t>03.874.311/0001-78</t>
  </si>
  <si>
    <t>SHAWN SHERLOCK</t>
  </si>
  <si>
    <t>Igor Starling Peixoto - CPF:***.842.201-**</t>
  </si>
  <si>
    <t>Consolidar um conjunto de esforços acadêmicos, técnicos e científicos dos partícipes para a realização de atividades de ensino, pesquisa e extensão inseridas nos escopos dos Projetos IDH+ (MPAM), visando a melhorias dos Índices de Desenvolvimento Humano dos Municípios do Estado do Amazonas.</t>
  </si>
  <si>
    <t>DOMPE: 12/06/2024</t>
  </si>
  <si>
    <t>2024.004383</t>
  </si>
  <si>
    <t>7/06/2029</t>
  </si>
  <si>
    <t>Mútua cooperação entre as PARTES de forma a possibilitar aos servidores, previamente autorizados e cadastrados, o acesso ao sistema do SPC BRASIL, com finalidade exclusiva de serviços administrativos.</t>
  </si>
  <si>
    <t>2023.028843</t>
  </si>
  <si>
    <t>CLUBE DE DIRETORES LOJISTAS DE MANAUS - CDL MANAUS</t>
  </si>
  <si>
    <t>04.379.426/0001-59</t>
  </si>
  <si>
    <t>RALPH BARAÚNA ASSAYAG - CPF:***.309.892-**</t>
  </si>
  <si>
    <t>Acompanhamento e providências que se fizerem necessárias para a implementação das medidas necessárias à inclusão do componente curricular de História da Cultura Afro Brasileira e indígena na grade curricular das escolas da Rede Municipal e Estadual de Ensino do Amazonas; bem como a elaboração de materiais pedagógicos adequados ao ensino dessas culturas.</t>
  </si>
  <si>
    <t>DOMPE: 21/05/2024</t>
  </si>
  <si>
    <t>2022.015391</t>
  </si>
  <si>
    <t>13/05/2029</t>
  </si>
  <si>
    <t>26.989.715/0008-89</t>
  </si>
  <si>
    <t>Igor Jordão Alves - CPF:***.814.674-**
Rafael da Silva Rocha - CPF:***.546.227-**</t>
  </si>
  <si>
    <t>Marcelo Pinto Ribeiro - CPF: ***.391.043-**</t>
  </si>
  <si>
    <t>Estabelecimento de ações de Cooperação Técnico-Científica para desenvolvimento e inovação voltadas à criação de um aplicativo multimídia para melhorar o acompanhamento e controle da execução da pena pelos reeducandos do regime semiaberto que estejam em monitoração eletrônica.</t>
  </si>
  <si>
    <t>DOMPE: 3/06/2024</t>
  </si>
  <si>
    <t>2024.000736</t>
  </si>
  <si>
    <t>PAULO CÉSAR GOMES DE OLIVEIRA JÚNIOR - CPF:***.086.919-**</t>
  </si>
  <si>
    <t>Christianne Corrêa Bento da Silva - CPF:***.983.462-**</t>
  </si>
  <si>
    <t>Desenvolvimento a conjugação de esforços acadêmicos destinados à realização de atividades de pesquisa, extensão, ensino e atividades práticas aos discentes da Faculdade La Salle (Manaus/AM) mediante Estágio supervisionado (Obrigatório e Não Obrigatório), visando atender às necessidades das presentes COOPERANTES, considerando as áreas de conhecimento e de interesse das respectivas instituições.</t>
  </si>
  <si>
    <t>DOMPE: 13/05/2024</t>
  </si>
  <si>
    <t>2023.025396</t>
  </si>
  <si>
    <t>FACULDADE LA SALLE - MANAUS</t>
  </si>
  <si>
    <t>92.741.990/0008-03</t>
  </si>
  <si>
    <t>Maria de Fátima Brito Durães - CPF:***.230.985-**</t>
  </si>
  <si>
    <t>Anabel Vitória Pereira Mendonça de Souza - CPF:***.970.152-**</t>
  </si>
  <si>
    <t>Estabelecer as condições para operacionalizar a concessão de empréstimo consignado e cartão de crédito na modalidade consignação em folha de pagamento para os servidores ativos, inativos, aposentados e/ou pensionistas do Ministério Público do Estado do Amazonas.</t>
  </si>
  <si>
    <t>DOMPE: 27/05/2024</t>
  </si>
  <si>
    <t>2023.011065</t>
  </si>
  <si>
    <t>7/11/2028</t>
  </si>
  <si>
    <t>BANCO SANTANDER (BRASIL) S.A.</t>
  </si>
  <si>
    <t>90.400.888/0001-42</t>
  </si>
  <si>
    <t>ALEXANDRA CRISTINA ALVES</t>
  </si>
  <si>
    <t>Estabelecer a cooperação mútua entre o Ministério Público do Estado de São Paulo - MPSP e o Ministério Público do Estado do Amazonas - MPAM, com anuência expressa do Ministério Público do Estado do Piauí - MPPI, visando ao intercâmbio de soluções de tecnologia, a fim de possibilitar a cessão do Sistema de Monitoramento de Materiais Questionados - SIMQ, desenvolvido pelo MPPI, com alterações e acréscimos realizados pelo MPSP.</t>
  </si>
  <si>
    <t>DOMPE: 26/04/2024</t>
  </si>
  <si>
    <t>2023.020129</t>
  </si>
  <si>
    <t>15/04/2029</t>
  </si>
  <si>
    <t>MINISTÉRIO PÚBLICO DO ESTADO DE SÃO PAULO</t>
  </si>
  <si>
    <t>01.468.760/0001-90</t>
  </si>
  <si>
    <t>FERNANDO JOSÉ MARTINS; CLEANDRO ALVES DE MOURA</t>
  </si>
  <si>
    <t>Troca de experiências com conjunto de esforços de elaboração de projetos técnicos para captação de recursos públicos e privados, dinâmicas de mobilização social para a realização de atividades de ensino, pesquisa e extensão  inseridas no escopo do Projeto IDH+ (MPAM), visando a melhoria dos Índices de Desenvolvimento Humano dos Municípios do Estado do Amazonas.</t>
  </si>
  <si>
    <t>DOMPE: 16/04/2024</t>
  </si>
  <si>
    <t>2024.004886</t>
  </si>
  <si>
    <t>16/04/2029</t>
  </si>
  <si>
    <t>INSTITUTO ACARIQUARA - ORGANIZAÇÃO DE SERVIÇOS SOCIOAMBIENTAIS SUSTENTÁVEIS</t>
  </si>
  <si>
    <t>06.284.362/0001-38</t>
  </si>
  <si>
    <t>ADEMAR ROBERTO MARTINS DE VASCONCELOS - CPF:***.690.722-**</t>
  </si>
  <si>
    <t>Implementação e execução do Projeto ESCOLA EM PAZ  JUSTIÇA RESTAURATIVA NA EDUCAÇÃO  JRE visando atender às escolas da Rede Estadual de Ensino do Amazonas, para o fito de fomentar da Cultura da Paz para a prevenção e transformação de conflitos.</t>
  </si>
  <si>
    <t>DOMPE: 12/04/2024</t>
  </si>
  <si>
    <t>2024.005447</t>
  </si>
  <si>
    <t>SECRETARIA DE EDUCAÇÃO E DESPORTO ESCOLAR - SEDUC/AM</t>
  </si>
  <si>
    <t>04.312.419/0001-30</t>
  </si>
  <si>
    <t>ARLETE FERREIRA MENDONÇA - CPF:***.347.002-**</t>
  </si>
  <si>
    <t>Cessão do Software Confúcio e do Ecossistema Perdigueiro, ambos criados pelo MPRN.</t>
  </si>
  <si>
    <t>DOMPE: 25/03/2024</t>
  </si>
  <si>
    <t>2024.000446</t>
  </si>
  <si>
    <t>20/09/2026</t>
  </si>
  <si>
    <t>ELAINE CARDOSO DE MATOS NOVAIS TEIXEIRA</t>
  </si>
  <si>
    <t>Estabelecer mecanismos de cooperação institucional entre o CONSELHO REGIONAL DE ENGENHARIA E AGRONOMIA DO ESTADO DO AMAZONAS - CREA/AM e o MINISTÉRIO PÚBLICO DO ESTADO DO AMAZONAS ¿ MPAM.</t>
  </si>
  <si>
    <t>DOMPE: 6/03/2024</t>
  </si>
  <si>
    <t>2023.022160</t>
  </si>
  <si>
    <t>1/04/2027</t>
  </si>
  <si>
    <t>CONSELHO REGIONAL DE ENGENHARIA E AGRONOMIA DO ESTADO DO AMAZONAS - CREA/AM</t>
  </si>
  <si>
    <t>04.322.541/0001-97</t>
  </si>
  <si>
    <t>ALZIRA MIRANDA DE OLIVEIRA - CPF:***.196.942-**</t>
  </si>
  <si>
    <t>Luciana de Souza Carvalho - CPF: ***.482.502-**</t>
  </si>
  <si>
    <t>1) Desenvolver ações colaborativas para apoiar o alcance de objetivos da Rede; 2. Promover a ampla divulgação científica de produtos elaborados no escopo da iniciativa, de acordo com as boas práticas estabelecidas pela Rede, ressalvado o conteúdo sujeito a sigilo ou restrição de acesso, nos termos da Lei nº 12.527, de 18 de novembro de 2011.</t>
  </si>
  <si>
    <t>DOMPE: 14/03/2024</t>
  </si>
  <si>
    <t>2024.004925</t>
  </si>
  <si>
    <t>28/02/2029</t>
  </si>
  <si>
    <t>Bruno Cordeiro Lorenzi - CPF: ***.999.370-**</t>
  </si>
  <si>
    <t>Estabelecer formas de cooperação entre os partícipes para a realização das missões atribuídas pelo ordenamento jurídico ao Ministério Público, tais como proteção do patrimônio público, a prevenção e o combate à corrupção, à lavagem de dinheiro e a outros crimes relacionados, de forma a aprimorar, desenvolver e dar suporte a métodos de análises de dados, pesquisas e investigações promovidas pelos partícipes, garantindo assim maior eficácia no desempenho das atribuições do Ministério Público por meio da atuação conjunta e do intercâmbio de conhecimentos, metodologias, experiências e do compartilhamento e desenvolvimento de tecnologias para o processamento e análise de dados, gestão de casos, entre outras ações conjuntas (Processo SEI MPDFT nº 19.04.3218.0036166/2023-09).</t>
  </si>
  <si>
    <t>DOMPE: 13/03/2024</t>
  </si>
  <si>
    <t>2022.023611</t>
  </si>
  <si>
    <t>Conjugação de esforços com vistas ao desenvolvimento de ações entre o TJAM e o Tribunal Regional Eleitoral do Amazonas, o Ministério Público do Amazonas, o Ministério Público de Contas do Estado do Amazonas, a Defensoria Pública do Estado do Amazonas, a Associação dos Magistrados do Amazonas - AMAZON, a Ordem dos Advogados do Brasil, (Seção Amazonas), a Assembleia Legislativa do Estado do Amazonas, a Câmara Municipal de Manaus, e a Secretaria de Estado de Justiça, Direitos Humanos e Cidadania - SEJUSC, no âmbito de ações de acessibilidade e da inclusão social da pessoa com deficiência.</t>
  </si>
  <si>
    <t>2024.002697</t>
  </si>
  <si>
    <t>19/02/2029</t>
  </si>
  <si>
    <t xml:space="preserve">NÉLIA CAMINHA JORGE; JORGE
MANOEL LOPES LINS; FERNANDA CANTANHEDE VEIGA MENDONÇA; RICARDO QUEIROZ DE PAIVA; GILDO ALVES DE CARVALHO FILHO; JEAN CLEUTER SIMÕES MENDONÇA; ROBERTO MAIA CIDADE FILHO; CAIO ANDRÉ PINHEIRO DE OLIVEIRA; JUSSARA PEDROSA CELESTINO DA COSTA  </t>
  </si>
  <si>
    <t xml:space="preserve">Vitor Moreira da Fonseca - CPF: ***.121.212-** </t>
  </si>
  <si>
    <t>Implementação e execução do Projeto ESCOLA EM PAZ - JUSTIÇA RESTAURATIVA NA EDUCAÇÃO - JRE visando atender às escolas da Rede Municipal de Ensino de Manaus/AM, e poderá ser estendido às escolas da zona rural e demais escolas do estado do Amazonas, para o fito de fomentar da Cultura da Paz para a prevenção e transformação de conflitos.</t>
  </si>
  <si>
    <t>DOMPE: 22/02/2024</t>
  </si>
  <si>
    <t>2023.020683</t>
  </si>
  <si>
    <t>22/02/2029</t>
  </si>
  <si>
    <t>SECRETARIA MUNICIPAL DE EDUCAÇAO  - SEMED</t>
  </si>
  <si>
    <t>04.312.674/0001-82</t>
  </si>
  <si>
    <t>DULCINEA ESTER PEREIRA DE ALMEIDA - CPF:***.116.112-**</t>
  </si>
  <si>
    <t>Conjunção de esforços para instalação, manutenção e funcionamento de Núcleos de Mediação Comunitária do Ministério Público do Estado do Amazonas em locais estratégicos nas comunidades da capital de Manaus (zonas Norte, Sul, Leste e Oeste), de modo a atender às finalidades do Programa dos Núcleos de Mediação Comunitária do Ministério Público do Estado do Amazonas, criado pelo Núcleo Permanente de Autocomposição do Ministério Público do Estado do Amazonas - NUPA-MPAM.</t>
  </si>
  <si>
    <t>DOMPE: 30/01/2024</t>
  </si>
  <si>
    <t>2023.002992</t>
  </si>
  <si>
    <t>30/01/2026</t>
  </si>
  <si>
    <t>CONCLUÍDO</t>
  </si>
  <si>
    <t>SECRETARIA MUNICIPAL DA MULHER, ASSISTÊNCIA SOCIAL E CIDADANIA</t>
  </si>
  <si>
    <t>03.125.976/0001-89</t>
  </si>
  <si>
    <t>Eduardo Lucas da Silva - CPF:***.226.642-**</t>
  </si>
  <si>
    <t>Anabel Vitória Pereira Mendonça de Souza - CPF: ***.970.152-**</t>
  </si>
  <si>
    <t>Pelo presente Termo de Adesão ao Acordo Corporativo nº 8/2020, o Ministério Público do Estado do Amazonas - MP/AM acata totalmente as condições gerais por meio das quais poderá utilizar os valores de referência estabelecidos em conformidade com os termos e condições do Acordo Corporativo nº 8/2020, em processos de compra específicos para a aquisição de quaisquer produtos ou serviços Microsoft previstos e descritos no Anexo I ou no Anexo II ao Acordo Corporativo nº 8/2020.</t>
  </si>
  <si>
    <t>DOMPE: 26/01/2024</t>
  </si>
  <si>
    <t>2023.028878</t>
  </si>
  <si>
    <t>24/01/2029</t>
  </si>
  <si>
    <t>Secretaria de Governo Digital desta Pasta (SGD)</t>
  </si>
  <si>
    <t>39.467.292/0010-01</t>
  </si>
  <si>
    <t>Rogerio Souza Mascarenhas</t>
  </si>
  <si>
    <t>THEO FERREIRA PARÁ - CPF: ***.390.882-**</t>
  </si>
  <si>
    <t>Tem por objetivo, nos termos do disposto na cláusula 4.2 do acordo de cooperação técnica n.º MPRJ 599400/17, celebrado entre o MPRJ e o Conselho Nacional do Ministério Público (CNMP), implantando o Sistema Nacional de Localização e Identificação de Desaparecidos - SINALID - cuja adesão foi realizada pelo Ministério Público do Estado do Amazonas, em 13 de novembro de 2017 - respeitadas as autonomias e atribuições institucionais dos partícipes, estabelecer colaboração no sentido de facilitar o fluxo de informações para a identificação e a localização de referências familiares de pacientes que chegam às unidades da rede estadual de saúde em típica situação de indicação de desaparecimento, sem acompanhantes da família ou mesmo sem identificação.</t>
  </si>
  <si>
    <t>2021.021424</t>
  </si>
  <si>
    <t>Secretaria de Estado de Saúde do Amazonas</t>
  </si>
  <si>
    <t>00.697.295/0001-05</t>
  </si>
  <si>
    <t>Anoar Abdul Samad - CPF:***.403.392-**</t>
  </si>
  <si>
    <t>Elanderson Lima Duarte - CPF: ***.315.564-**</t>
  </si>
  <si>
    <t>Consolidar um conjunto de esforços acadêmicos, técnicos e científicos dos partícipes para a realização de atividades de ensino, pesquisa e extensão inseridas nos escopos dos Projetos IDH+ (MPAM) e Atlas ODS AM (UFAM), visando a melhorias dos Índices de Desenvolvimento Humano dos Municípios do Estado do Amazonas.</t>
  </si>
  <si>
    <t>DOMPE: 29/12/2023</t>
  </si>
  <si>
    <t>2023.017867</t>
  </si>
  <si>
    <t>22/12/2028</t>
  </si>
  <si>
    <t>FUNDAÇÃO UNIVERSIDADE DO AMAZONAS - FUA</t>
  </si>
  <si>
    <t>04.378.626/0001-97</t>
  </si>
  <si>
    <t>SYLVIO MÁRIO PUGA FERREIRA - CPF: ***.295.092-**</t>
  </si>
  <si>
    <t>BRUNO CORDEIRO LORENZI</t>
  </si>
  <si>
    <t>Firmar parceria estratégica entre o Ministério Público do Estado do Amazonas e o Instituto Municipal de Mobilidade Urbana visando a implantação do projeto Faixa Segura, da 63ª Promotoria de Justiça Especializada na Proteção e Defesa da Ordem Urbanística do Ministério Público do Estado do Amazonas, cuja finalidade reside na implementação à execução de serviços de manutenção das faixas de pedestres já existentes e implantação de novas faixas, inclusive com recuo para motociclistas, além de formar parceria em  atividades visando a educação no trânsito por motoristas, motociclista, ciclistas e pedestres.</t>
  </si>
  <si>
    <t>2023.017393</t>
  </si>
  <si>
    <t>19/12/2026</t>
  </si>
  <si>
    <t>INSTITUTO MUNICIPAL DE MOBILIDADE URBANA</t>
  </si>
  <si>
    <t>33.681.104/0001-68</t>
  </si>
  <si>
    <t>PAULO HENRIQUE DO NASCIMENTO MARTINS - CPF: ***.998.202-**</t>
  </si>
  <si>
    <t>PAULO STÉLIO SABBÁ GUIMARÃES</t>
  </si>
  <si>
    <t>Adesão do MINISTÉRIO PÚBLICO DO ESTADO DO AMAZONAS ao Programa Rede Nacional de Laboratórios de Tecnologia contra a Lavagem de Dinheiro (Programa Rede-Lab), por meio da indicação de unidade administrativa como Laboratório de Tecnologia contra a Lavagem de Dinheiro (Lab-LD), com fulcro na Portaria MJSP nº 145/2022.</t>
  </si>
  <si>
    <t>2020.021538</t>
  </si>
  <si>
    <t>15/12/2028</t>
  </si>
  <si>
    <t>MINISTÉRIO DA JUSTIÇA E SEGURANÇA PÚBLICA</t>
  </si>
  <si>
    <t>29.971.283/0001-09</t>
  </si>
  <si>
    <t>AUGUSTO ARRUDA BOTELHO NETO</t>
  </si>
  <si>
    <t>Coordenador do Centro de Apoio Operacional de Inteligência, Investigação e de Combate ao Crime Organizado - CAO-CRIMO/GAECO</t>
  </si>
  <si>
    <t>Firmar parceria entre o MINISTÉRIO PÚBLICO DO ESTADO DO AMAZONAS e o TRIBUNAL DE JUSTIÇA DO ESTADO DO AMAZONAS, a fim de viabilizar a interoperabilidade entre os sistemas de gestão processual eletrônicos dos partícipes, no âmbito da capital e do interior do Estado do Amazonas.</t>
  </si>
  <si>
    <t>2023.022117</t>
  </si>
  <si>
    <t>13/12/2028</t>
  </si>
  <si>
    <t>NÉLIA CAMINHA JORGE</t>
  </si>
  <si>
    <t>Chefe do Setor de Sistemas da Informação</t>
  </si>
  <si>
    <t>Execução do projeto "O MP NAS ESCOLAS", o qual tem como finalidade construir um canal dialogal permanente com a comunidade estudantil, de modo a proporcionar suportes de informação sobre a trajetória histórica da instituição do Ministério Público do Amazonas e sua importância para as gerações atuais e vindouras, fortalecendo, assim, a função social do MP.</t>
  </si>
  <si>
    <t>DOMPE: 22/11/2023</t>
  </si>
  <si>
    <t>2020.018121</t>
  </si>
  <si>
    <t>17/11/2028</t>
  </si>
  <si>
    <t>SINDICATO DOS ESTABELECIMENTOS DE ENSINO PRIVADO DO ESTADO DO AMAZONAS - SINEPE-AM</t>
  </si>
  <si>
    <t>04.945.473/0001-12</t>
  </si>
  <si>
    <t>LAURA CRISTINA NASCIMENTO DE ANDRADE - CPF: ***.177.422-**</t>
  </si>
  <si>
    <t>JOÃO GASPAR RODRIGUES</t>
  </si>
  <si>
    <t>Objeto do presente ACORDO estabelecer as condições de cooperação técnica, jurídico-científica e pedagógica entre o MPAM, por meio do Centro de Estudos para o Aperfeiçoamento Funcional do Ministério Público do Estado do Amazonas (CEAF), e o CETAM.</t>
  </si>
  <si>
    <t>DOMPE: 28/10/2023</t>
  </si>
  <si>
    <t>2023.002983</t>
  </si>
  <si>
    <t>25/10/23</t>
  </si>
  <si>
    <t>HELLEN CRISTINA SILVA MATUTE</t>
  </si>
  <si>
    <t>CONVÊNIO</t>
  </si>
  <si>
    <t>Definir os deveres e as responsabilidades dos partícipes na operacionalização de empréstimo a ser concedido pelo BRB aos membros ativos e inativos/ servidores ativos e inativos/empregados/pensionistas integrantes do quadro permanente e em comissão da CONSIGNANTE, correntistas do Banco de Brasília S/A - BRB mediante consignação em folha de pagamento, com o consequente estabelecimento de rotinas operacionais para viabilizar o desconto dos encargos mensais relativos aos créditos concedidos.</t>
  </si>
  <si>
    <t>DOMPE: 16/10/2023</t>
  </si>
  <si>
    <t>2023.012396</t>
  </si>
  <si>
    <t>BRB  BANCO DE BRASÍLIA S/A</t>
  </si>
  <si>
    <t>00.000.208/0001-00</t>
  </si>
  <si>
    <t>EUGÊNIA REGINA DE MELO - CPF: ***.242.606-**</t>
  </si>
  <si>
    <t>AUGUSTO DOS SANTOS ARAÚJO</t>
  </si>
  <si>
    <t>Execução do projeto "O MP NAS UNIVERSIDADES", o qual tem como finalidade construir um canal dialogal permanente com a comunidade estudantil, de modo a proporcionar suportes de informação sobre a trajetória histórica da instituição do Ministério Público do Amazonas e sua importância para as gerações atuais e vindouras, fortalecendo, assim, a função social do MP.</t>
  </si>
  <si>
    <t>DOMPE: 20/09/2023</t>
  </si>
  <si>
    <t>2022.024408</t>
  </si>
  <si>
    <t>ANDRÉ LUIZ NUNES ZOGAHIB - CPF: ***.395.752-**</t>
  </si>
  <si>
    <t>Chefe do Centro de Estudos para o Aperfeiçoamento Funcional do Ministério Público do Estado do Amazonas - CEAF - MP/AM</t>
  </si>
  <si>
    <t>DOMPE: 15/09/2023</t>
  </si>
  <si>
    <t>30/08/2028</t>
  </si>
  <si>
    <t>SINDICATO DOS ESTABELECIMENTOS DE ENSINO PRIVADO DO ESTADO DO AMAZONAS</t>
  </si>
  <si>
    <t>LAURA CRISTINA ANDRADE - CPF: ***.177.422-**</t>
  </si>
  <si>
    <t>A mútua cooperação técnica e intercâmbio de informações, a fim de viabilizar a fiscalização do Ministério Público do Estado do Amazonas (MP/AM) em relação aos serviços públicos submetidos à Agência Reguladora dos Serviços Públicos Delegados do Municipio de Manaus (AGEMAN).</t>
  </si>
  <si>
    <t>DOMPE: 13/09/2023</t>
  </si>
  <si>
    <t>2023.012005</t>
  </si>
  <si>
    <t>29/08/2028</t>
  </si>
  <si>
    <t>AGÊNCIA REGULADORA DOS SERVIÇOS PÚBLICOS DELEGADOS DO MUNICÍPIO DE MANAUS  AGEMAN</t>
  </si>
  <si>
    <t>29.916.198/0001-30</t>
  </si>
  <si>
    <t>ELSON ANDRADE FERREIRA JÚNIOR - CPF: ***.415.512-**</t>
  </si>
  <si>
    <t>LINCOLN ALENCAR DE QUEIROZ</t>
  </si>
  <si>
    <t>Ampliação dos mecanismos de cooperação e intercâmbio tecnológico entre o MPPB e o MPAM, com vistas ao enfrentamento dos crimes de corrupção, visando a uma maior efetividade na proteção do patrimônio público, sendo instrumento relevante para as atividades das instituições envolvidas.</t>
  </si>
  <si>
    <t>2022.014692</t>
  </si>
  <si>
    <t>18/08/2028</t>
  </si>
  <si>
    <t>MINISTÉRIO PÚBLICO DO ESTADO DA PARAÍBA</t>
  </si>
  <si>
    <t>ANTÔNIO HORTÊNCIO ROCHA NETO</t>
  </si>
  <si>
    <t>LEANDRO VIANA MENEGHINI</t>
  </si>
  <si>
    <t>Firmar parceria entre o Ministério Público do Estado do Amazonas e o Centro Universitário Fametro com fito de disponibilizar as ações de atendimento ao público realizadas pelos Núcleos de Atividades Práticas das Faculdades de Fisioterapia, Psicologia, Pedagogia, Direito, Serviço Social, às pessoas atendidas no Programa de Atenção às Pessoas em Situação de Vulnerabilidade Psicossocial - RECOMEÇAR, sediado no Prédio Anexo do Ministério Público do Estado do Amazonas.</t>
  </si>
  <si>
    <t>DOMPE: 3/08/2023</t>
  </si>
  <si>
    <t>2022.023582</t>
  </si>
  <si>
    <t>CENTRO UNIVERSITÁRIO FAMETRO</t>
  </si>
  <si>
    <t>03.817.341/0006-57</t>
  </si>
  <si>
    <t>WELLINGTON LINS DE ALBUQUERQUE JÚNIOR</t>
  </si>
  <si>
    <t>Tatiana Almeida Freire de Souza - CPF: ***.353.262-**</t>
  </si>
  <si>
    <t>Troca de informações gerenciadas pelos cooperantes, incluído acesso ao Banco de Dados do Sistema Penitenciário do Amazonas especificamente em relação aos custodiados, não cobertos por sigilo judicial ou administrativo.</t>
  </si>
  <si>
    <t>DOMPE: 28/07/2023</t>
  </si>
  <si>
    <t>27/07/2028</t>
  </si>
  <si>
    <t>SECRETARIA DE ESTADO DE ADMINISTRAÇÃO PENITENCIÁRIA DO AMAZONAS</t>
  </si>
  <si>
    <t> CEL QOPM PAULO CÉSAR GOMES DE OLIVEIRA JÚNIOR</t>
  </si>
  <si>
    <t>Parceria entre o Governo do Estado do Amazonas, por intermédio da Secretaria de Estado de Segurança Pública e o Ministério Público do Estado do Amazonas, com o fito de criar equipe interprofissional, visando à operacionalização do Centro de Apoio Operacional de Inteligência, Investigação e Combate ao Crime Organizado - CAOCRIMO, sediado nas instalações do Ministério Público do Estado do Amazonas.</t>
  </si>
  <si>
    <t>DOMPE: 24/07/2023</t>
  </si>
  <si>
    <t>2022.006853</t>
  </si>
  <si>
    <t>17/07/2028</t>
  </si>
  <si>
    <t>SECRETARIA DE SEGURANÇA PÚBLICA</t>
  </si>
  <si>
    <t>01.804.019/0001-53</t>
  </si>
  <si>
    <t>TADEU DE SOUZA SILVA</t>
  </si>
  <si>
    <t>Estabelecer as condições de cooperação técnica jurídico científica e pedagógica entre as duas participantes no planejamento de estudos e projetos de desenvolvimento regional na pesquisa científica, teórica e aplicada, na implantação de programas destinados à atualização das Ciências Jurídicas e do Direito, as quais serão aplicadas na capacitação de recursos humanos, como para oferecimento de cursos, presenciais, semipresenciais e à distância, de especialização, aperfeiçoamento e atualização para membros e servidores do MINISTÉRIO PÚBLICO DO ESTADO DO AMAZONAS, bem como para docentes e funcionários do CENTRO DE ESTUDOS JURÍDICOS DO AMAZONAS - FACULDADE SANTA TERESA, envolvendo ainda, os cursos de pós-graduação lato sensu com concessão de descontos nas semestralidades dos cursos oferecidos pela IES aos funcionários e dependentes diretos do MINISTÉRIO PÚBLICO DO AMAZONAS, exceto para o curso de graduação em Medicina, além de participação em eventos realizados pela IES e atendimento nas clínicas da IES aos colaboradores e dependentes diretos, por meio de agendamento.</t>
  </si>
  <si>
    <t>DOMPE: 18/07/2023</t>
  </si>
  <si>
    <t>2023.012659</t>
  </si>
  <si>
    <t>14/07/2028</t>
  </si>
  <si>
    <t>CENTRO DE ESTUDOS JURÍDICOS DO AMAZONAS LTDA.</t>
  </si>
  <si>
    <t>06.201.403/0001-85</t>
  </si>
  <si>
    <t>MARIA DO CARMO SEFFAIR LINS DE ALBUQUERQUE</t>
  </si>
  <si>
    <t>CONVÊNIO POR ADESÃO</t>
  </si>
  <si>
    <t>Prestação de assistência à saúde aos membros ou servidores, ativos e inativos, aposentados e pensionistas e ocupantes de cargo em comissão do MINISTÉRIO PÚBLICO DO ESTADO DO AMAZONAS, bem como aos seus dependentes e respectivos grupos familiares definidos nos termos deste CONVÊNIO, proporcionando a possibilidade de ingresso nos Planos de Saúde administrados pela GEAP Autogestão em Saúde, devidamente registrados na Agência Nacional de Saúde Suplementar  ANS, na modalidade Coletivo Empresarial, com abrangência nacional e estadual.</t>
  </si>
  <si>
    <t>DOMPE: 5/07/2023</t>
  </si>
  <si>
    <t>2023.003026</t>
  </si>
  <si>
    <t>1/07/2028</t>
  </si>
  <si>
    <t>GEAP AUTOGESTÃO EM SAÚDE</t>
  </si>
  <si>
    <t>03.658.432/0001-82</t>
  </si>
  <si>
    <t>DOUGLAS VICENTE FIGUEREDO</t>
  </si>
  <si>
    <t xml:space="preserve"> CAROLINE ELLEN BEZERRA-GESTORA                                                   PATRÍCIA MACHADO DA VEIGA-FISCAL</t>
  </si>
  <si>
    <t>O presente instrumento tem por objetivo, nos termos do disposto na cláusula 4.2 do acordo de cooperação técnica n.º MPRJ 599400/17, celebrado entre o MPRJ e o Conselho Nacional do Ministério Público (CNMP), implantando o Sistema Nacional de Localização e Identificação de Desaparecidos - SINALID - cuja adesão foi realizada pelo Ministério Público do Estado do Amazonas, em 13 de novembro de 2017 - respeitadas as autonomias e atribuições institucionais dos partícipes, estabelecer colaboração no sentido de facilitar o fluxo de informações sobre o desaparecimento de pessoas, bem como a cooperação técnica e científica para elucidação de casos de desaparecimento e situações correlatas, em conformidade com o plano de trabalho daquele acordo de cooperação (Anexo I), que integra o presente instrumento, independentemente de sua transcrição.</t>
  </si>
  <si>
    <t>DOMPE: 30/05/2023</t>
  </si>
  <si>
    <t>2019.010029</t>
  </si>
  <si>
    <t>26/05/2028</t>
  </si>
  <si>
    <t>Policia Civil do Estado do Amazonas</t>
  </si>
  <si>
    <t>03.072.388/0001-24</t>
  </si>
  <si>
    <t>CARLOS ALBERTO MANSUR                            BRUNO DE PAULA FRAGA</t>
  </si>
  <si>
    <t>Parceria institucional para a realização de cursos de natureza científico-tecnológica, pesquisas, atividades de extensão, de forma conjunta, entre as entidades cooperadas.</t>
  </si>
  <si>
    <t>DOMPE: 29/05/2023</t>
  </si>
  <si>
    <t>2023.008950</t>
  </si>
  <si>
    <t>24/05/2028</t>
  </si>
  <si>
    <r>
      <t> </t>
    </r>
    <r>
      <rPr>
        <sz val="11"/>
        <color rgb="FF000000"/>
        <rFont val="Calibri"/>
        <family val="2"/>
      </rPr>
      <t>CEL QOPM PAULO CÉSAR GOMES DE OLIVEIRA JÚNIOR</t>
    </r>
  </si>
  <si>
    <t>Instalação de OUVIDORIAS em todos os Municípios do Estado do Amazonas, visando à criação de uma REDE DE OUVIDORIAS MUNICIPAIS interligada à Ouvidoria do Ministério Público do Estado do Amazonas, para agilizar e facilitar a tramitação e resposta das manifestações relativas a cada Município, encaminhadas por cidadãos à Ouvidoria do MPAM, de forma a propiciar a participação popular no processo de otimização e aperfeiçoamento da gestão pública, bem como na prática do controle social, consolidando, assim, o exercício da cidadania e a democracia deliberativa.</t>
  </si>
  <si>
    <t>2022.019828</t>
  </si>
  <si>
    <t>25/05/2028</t>
  </si>
  <si>
    <t>ASSOCIAÇÃO AMAZONENSE DE MUNICÍPIOS  AMM</t>
  </si>
  <si>
    <t>04.020.426/0001-68</t>
  </si>
  <si>
    <t>ANDERSON JOSÉ DE SOUSA</t>
  </si>
  <si>
    <t>PATRÍCIA COSTA MARTINS</t>
  </si>
  <si>
    <t>Estabelecer as condições de cooperação técnica, jurídico-científica e pedagógica entre o Centro de Estudos para o Aperfeiçoamento Funcional do Ministério Público do Estado do Amazonas (CEAF-MP/AM) e a Escola do Legislativo Vereadora Léa Alencar Antony - Câmara Municipal de Manaus.</t>
  </si>
  <si>
    <t>DOMPE: 26/05/2023</t>
  </si>
  <si>
    <t>2022.024672</t>
  </si>
  <si>
    <t>CÂMARA MUNICIPAL DE MANAUS</t>
  </si>
  <si>
    <t>04.503.504/0001-85</t>
  </si>
  <si>
    <t>CAIO ANDRÉ PINHEIRO DE OLIVEIRA</t>
  </si>
  <si>
    <t>Chefe do Centro de Estudos para o Aperfeiçoamento Funcional do Ministério Público do Estado do Amazonas - CEAF - MP/AM,</t>
  </si>
  <si>
    <t>Cooperação técnica entre os PARTÍCIPES, visando à troca de informações, bases de dados e sistemas de informações e, ainda, ao atendimento, por parte do MPAM, aos pedidos de informações oriundos de seu órgãos de execução referentes a processos dos gestores que tiveram suas contas julgadas irregulares pelo TCE-AM.</t>
  </si>
  <si>
    <t>DOMPE: 18/05/2023</t>
  </si>
  <si>
    <t>2021.019184</t>
  </si>
  <si>
    <t>PROCURADORIA DA REPÚBLICA NO AMAZONAS                   TRIBUNAL DE CONTAS DO ESTADO DO AMAZONAS</t>
  </si>
  <si>
    <t>05.829.742/0001-48</t>
  </si>
  <si>
    <t xml:space="preserve"> Dra. MICHÈLE DIZ Y GIL CORBI (Procuradora da
República) e o Exmo. Sr. Dr. ÉRICO XAVIER DESTERRO E SILVA
(Presidente do TCE/AM)</t>
  </si>
  <si>
    <t>LEANDRO VIANA MENEGHINI ELTON FABIANO SOUZA DA SILVA</t>
  </si>
  <si>
    <t>Instalação e construção de galpão para usina termomagnética de tratamento de resíduos sólidos para 62 (sessenta e dois) municípios no Estado do Amazonas.</t>
  </si>
  <si>
    <t>DOMPE: 31/05/2023</t>
  </si>
  <si>
    <t>2023.010724</t>
  </si>
  <si>
    <t>Associação Instituto Picanço - AIP Instituto de Proteção Ambiental do Amazonas - IPAAM Associação Amazonense de Municípios - AAM</t>
  </si>
  <si>
    <t>43.533.545/0001-76</t>
  </si>
  <si>
    <t>CRISTIANA DE SOUZA PICANÇO ANDERSON JOSE DE SOUSA  JULIANO MARCOS VALENTE DE SOUZA</t>
  </si>
  <si>
    <t>Adesão do Ministério Público do Estado do Amazonas à Solução Sinesp Infoseg, nos termos da Resolução Consinesp/MJSP nº 1, de 17 de junho de 2021, que dispõe sobre normas e procedimentos para gestão, manutenção e utilização da solução, tendo como objeto fundamental a prevenção e a repressão da violência.</t>
  </si>
  <si>
    <t>DOMPE: 17/05/2023</t>
  </si>
  <si>
    <t>2022.010634</t>
  </si>
  <si>
    <t>26/04/2028</t>
  </si>
  <si>
    <t>SECRETARIA NACIONAL DE SEGURANÇA PÚBLICA - SINESP</t>
  </si>
  <si>
    <t>00.394.494/0005-60</t>
  </si>
  <si>
    <t>Exmo. Sr. FRANCISCO TADEU BARBOSA DE ALENCAR (Secretário
Nacional de Segurança Pública)</t>
  </si>
  <si>
    <t>Regular</t>
  </si>
  <si>
    <t>Aderir ao Pacto Nacional em Defesa da Democracia, comprometendo-se a apoiar, na forma e condições estabelecidas, as ações e os objetivos delineados no referido ajuste.</t>
  </si>
  <si>
    <t>2023.004788</t>
  </si>
  <si>
    <t>Indeterminado</t>
  </si>
  <si>
    <t>Exmo. Sr. ANTÔNIO AUGUSTO BRANDÃO DE ARAS (Presidente do Conselho Nacional do Ministério Público)</t>
  </si>
  <si>
    <t>CEL QOPM Antônio Marcos Beckman de Lima</t>
  </si>
  <si>
    <t>Firmar parceria entre o Ministério Público do Estado do Amazonas e a Fundação Sangue Nativo, objetivando o desenvolvimento de ações conjuntas, a fim de dar efetividade ao princípio do acesso universal à justiça, de forma a possibilitar a coleta de material para a realização do exame de DNA para o reconhecimento de paternidade nos procedimentos administrativos e judiciais.</t>
  </si>
  <si>
    <t>DOMPE: 24/03/2023</t>
  </si>
  <si>
    <t>2022.023573</t>
  </si>
  <si>
    <t>23/03/2028</t>
  </si>
  <si>
    <t>FUNDAÇÃO SANGUE NATIVO</t>
  </si>
  <si>
    <t>02.827.461/0001-68</t>
  </si>
  <si>
    <t>ERIKA SOUZA GARCIA RODRIGUES</t>
  </si>
  <si>
    <t>Coordenador do Centro de Apoio das Promotorias Cíveis- CAO_CÌVEL</t>
  </si>
  <si>
    <t>Adesão ao Acordo de Cooperação Técnica celebrado entre o Conselho Nacional do Ministério Público e o Ministério da Justiça e Segurança Pública, em 22 de novembro de 2022, publicado no Diário Oficial da União nº 220 de 23 de novembro de 2022, que tem por finalidade o estabelecimento de parceria entre as Partes para colaboração e cooperação no desenvolvimento de ações de enfrentamento ao tráfico de pessoas.</t>
  </si>
  <si>
    <t>DOMPE: 3/02/2023</t>
  </si>
  <si>
    <t>2022.024806</t>
  </si>
  <si>
    <t>ANGELO FABIANO FARIAS DA COSTA</t>
  </si>
  <si>
    <t>Exma. Sra. Dra. MARCIA CRISTINA DE LIMA OLIVEIRA</t>
  </si>
  <si>
    <t>Adesão ao Protocolo de Intenções celebrado entre o Conselho Nacional do Ministério Público e o Ministério Público do Estado de Pernambuco, em 20 de outubro de 2022, que tem por finalidade firmar o compromisso de implementar, nos Ministérios Públicos dos Estados e da União, estratégias e mecanismos específicos para o fortalecimento da atuação na temática dos resíduos sólidos, utilizando, como material de apoio, as sugestões contidas na publicação do CNMP "GESTÃO DE RESÍDUOS: ESTRATÉGIAS DE ATUAÇÃO INTERINSTITUCIONAL".</t>
  </si>
  <si>
    <t>DOMPE: 31/01/2023</t>
  </si>
  <si>
    <t>2022.019634</t>
  </si>
  <si>
    <t>CONSELHO NACIONAL DO MINISTERIO PUBLICO</t>
  </si>
  <si>
    <t>ANTONIO AUGUSTO ARAS BRANDÃO</t>
  </si>
  <si>
    <t>Exma. Sra. Dra. MARIA JOSE DA SILVA NAZARÉ</t>
  </si>
  <si>
    <t>Cooperação entre a Secretaria de Segurança Pública do Amazonas (SSP/AM) e o Ministério Público do Amazonas (MPAM) para compartilhamento de acesso ao Sistema de Câmeras Inteligentes (Cerco Inteligente/Paredão) a membros e servidores lotados no Centro de Apoio Operacional de Inteligência, Investigação e de Combate ao Crime Organizado - CAO-CRIMO/GAECO, a fim de tornar mais eficiente o procedimento de apoio operacional nas atividades de inteligência, investigação e combate ao crime organizado, por meio da integração de recursos existentes entre os órgãos partícipes do acordo.</t>
  </si>
  <si>
    <t>DOMPE: 12/12/2022</t>
  </si>
  <si>
    <t>2022.018530</t>
  </si>
  <si>
    <t>SECRETARIA DE ESTADO DE SEGURANÇA PÚBLICA DO AMAZONAS - SSP/AM</t>
  </si>
  <si>
    <t>Carlos Alberto Mansur - CPF:***.354.867-**</t>
  </si>
  <si>
    <t>O presente acordo tem por objetivo a conjugação de esforços entre os partícipes visando à implementação de programas e ações interinstitucionais de responsabilidade socioambiental.</t>
  </si>
  <si>
    <t>DOMPE: 23/12/2022</t>
  </si>
  <si>
    <t>2022.010005</t>
  </si>
  <si>
    <t>ÉRICO XAVIER DESTERRO E SILVA CPF: ***.608.912-**</t>
  </si>
  <si>
    <t>Subprocurador-Geral de Justiça para Assuntos Adm. - SUBADM</t>
  </si>
  <si>
    <t>Este TERMO tem por escopo a Adesão ao Acordo de Cooperação Técnica celebrado entre o Conselho Nacional do Ministério Público e a Agência Nacional de Águas e Saneamento Básico, em 13 de setembro de 2022, publicado no Diário Oficial da União nº 176, Seção 3, página 171, de 15 de Setembro de 2022, que tem por finalidade a colaboração entre a ANA e o CNMP, visando a capacitação mútua e o desenvolvimento de estratégias integradas em ações de conservação de água e solo, segurança de barragens, operações de reservatórios e implementação do marco legal do saneamento básico.</t>
  </si>
  <si>
    <t>DOMPE: 10/11/2022</t>
  </si>
  <si>
    <t>2022.018226</t>
  </si>
  <si>
    <t>ANTONIO AUGUSTO BRANDÃO ARAS</t>
  </si>
  <si>
    <t> LAURO TAVARES DA SILVA</t>
  </si>
  <si>
    <t xml:space="preserve">Constitui objeto do presente acordo de cooperação técnica a alimentação e o uso compartilhado do sítio de internet e do sistema.Consumidor Vencedor pelos Ministérios Públicos signatários, bem como a interoperabilidade de dados relativos à atividade-fim ministerial pertinente, observado o Modelo Nacional de Interoperabilidade (MNI), viabilizando o intercâmbio de informações sobre ações coletivas ajuizadas, decisões judiciais, provisórias ou definitivas, e termos de ajustamento de conduta obtidos na atuação do Ministério Público na defesa do consumidor nos Estados do Rio de Janeiro e do Amazonas, e propiciando a disponibilização de tais informações para a sociedade, através do sítio de internet supramencionado, com a manutenção de um canal específico para o recebimento das notícias dos consumidores acerca do descumprimento das decisões e compromissos de conduta disponibilizados para consulta </t>
  </si>
  <si>
    <t>DOMPE: 18/11/2022</t>
  </si>
  <si>
    <t>2022.012978</t>
  </si>
  <si>
    <t>ANTONIO JOSE CAMPOS MOREIRA</t>
  </si>
  <si>
    <t>EDILSON QUEIROZ MARTINS</t>
  </si>
  <si>
    <t>TERMO DE AFETAÇÃO E RESPONSABILIDADE</t>
  </si>
  <si>
    <t>Afetação e transferência de administração de imóvel situado no município de Urucará/AM, com localização na Rua Crispim Lôbo, nº 151, Bairro Centro, cadastrado no Sistema de Administração de Material e Patrimônio - AJURI, sob o tombo de nº 880001347, para o Ministério Público do Estado do Amazonas - MPAM.</t>
  </si>
  <si>
    <t>DOMPE: 04/11/2022</t>
  </si>
  <si>
    <t>2021.015385</t>
  </si>
  <si>
    <t>SECRETARIA DE ESTADO DE ADMINISTRAÇÃO E GESTÃO-SEAD</t>
  </si>
  <si>
    <t>02.287.757/0001-33</t>
  </si>
  <si>
    <t>FABRICIO ROGERIO CYRINO BARBOSA</t>
  </si>
  <si>
    <t xml:space="preserve">Chefe do Setor de Patrimônio e Material  </t>
  </si>
  <si>
    <t>Adesão ao Acordo de Cooperação Técnica nº 31/2022, celebrado entre o Conselho Nacional do Ministério Público e o Instituto Brasileiro do Meio Ambiente e dos Recursos Naturais Renováveis (IBAMA) em 19 de setembro de 2022, publicado no Diário Oficial da União nº 179, de 20 de setembro de 2022, Seção 3, página 120, para o estabelecimento da cooperação visando a integração e o compartilhamento de bases de dados e informações para maior eficiência e celeridade na proteção do Meio Ambiente observada a legislação federal pertinente sobre a matéria, no que couber.</t>
  </si>
  <si>
    <t>DOMPE: 26/10/2022</t>
  </si>
  <si>
    <t>2022.018884</t>
  </si>
  <si>
    <t>RODRIGO AUGUSTO MELO DE CARVALHO</t>
  </si>
  <si>
    <t>Adesão ao Acordo de Cooperação Técnica nº 7/2022/GM, celebrado entre o Ministério da Justiça e Segurança Pública, o Conselho Nacional do Ministério Público e o Ministério Público Federal, em 20 de setembro de 2022, que tem por finalidade estabelecer a cooperação técnica e operacional, bem como o intercâmbio de conhecimentos, informações, dados e tecnologias, por meio da adoção de mecanismos de compartilhamento apropriado à consecução das atividades finalísticas voltadas a assegurar a efetividade das políticas públicas promovidas pelos órgãos participes, a criação de base nacional de torcedores impedidos de acesso a estádios de futebol bem como fiscalização eletrônica em grandes eventos, e o compartilhamento de informações sobre inquéritos policiais e ações judiciais com o respectivo registro no sistema PJe ou análogo do Poder Judiciário.</t>
  </si>
  <si>
    <t>DOMPE: 13/10/2022</t>
  </si>
  <si>
    <t>2022.018014</t>
  </si>
  <si>
    <t>Estabelecer cooperação mútua entre o Ministério Público do Estado de São Paulo  MPSP e o Ministério Público do Estado do Amazonas  MPAM, a fim de possibilitar a cessão da plataforma LAB ELEITORAL MPSP 2022 de propriedade do MPSP.</t>
  </si>
  <si>
    <t>2022.017172</t>
  </si>
  <si>
    <t>MÁRIO LUIZ SARRUBBO - CPF:***.117.598-**</t>
  </si>
  <si>
    <t>GENNER RAMOS MAIA</t>
  </si>
  <si>
    <t>Consolidar um conjunto de esforços acadêmicos, técnicos e científicos dos partícipes para a realização de atividades de ensino, pesquisa e extensão na temática gestão pública e demais áreas relacionadas às atividades do Ministério Público, visando à formação continuada de membros e servidores do Órgão Ministerial.</t>
  </si>
  <si>
    <t>2018.016257</t>
  </si>
  <si>
    <t>Chefe do Centro de Estudos e Aperfeiçoamento Funcional - CEAF</t>
  </si>
  <si>
    <t>TERMO DE DOAÇÃO</t>
  </si>
  <si>
    <t>Doação de imóvel de Matrícula Nº 20.263, Livro 02 do Registro Geral, do Cartório do 1º Ofício de Itacoatiara, situado na Rua 02, nº 51, Conjunto Iracy, no município de Itacoatiara/AM, nos termos constantes do Processo n.º 2019.018363.</t>
  </si>
  <si>
    <t>DOMPE: 20/09/2022</t>
  </si>
  <si>
    <t>2022.016656</t>
  </si>
  <si>
    <t>15/092022</t>
  </si>
  <si>
    <t>PREFEITURA MUNICIPAL DE ITACOATIARA</t>
  </si>
  <si>
    <t>04.241.980/0001-75</t>
  </si>
  <si>
    <t>Mario Jorge Bouez Abrahim</t>
  </si>
  <si>
    <t>Chefe do Setor de Patrimônio e Material</t>
  </si>
  <si>
    <t>Este Termo de Adesão tem por escopo a adesão ao Acordo de Cooperação Técnica celebrado entre o CNMP e o Instituto Combustível Legal (ICL), em 09 de fevereiro de 2022, publicado no Diário Oficial da União n° 30, de 11 de fevereiro de 2022, que tem por objeto a cooperação para o compartilhamento de dados e informações não sigilosas, de forma não onerosa e sem qualquer contrapartida, bem como de conhecimentos sobre o mercado brasileiro de combustíveis, inclusive sobre estudos relativos a índices de sonegação e inadimplência, conforme especificações estabelecidas no Plano de Trabalho anexo ao Acordo.</t>
  </si>
  <si>
    <t>DOMPE: 29/09/2022</t>
  </si>
  <si>
    <t>2022.010559</t>
  </si>
  <si>
    <t>SHEYLA ANDRADE DOS SANTOSuardando Portaria</t>
  </si>
  <si>
    <t>CESSÃO DE USO</t>
  </si>
  <si>
    <t>Cessão de uso do Sistema de Gestão de Contratos (SGC) ao Ministério Pùblico do Estado do Amazonas, sem a cessão de código-fonte, que permanecerá sob propriedade do Centro de Serviços Compartilhados (CSC/AM).</t>
  </si>
  <si>
    <t>DOMPE: 14/09/2022</t>
  </si>
  <si>
    <t>2022.009107</t>
  </si>
  <si>
    <t>CENTRO DE SERVIÇOS COMPARTILHADOS -CSC</t>
  </si>
  <si>
    <t>03.930.106/0001-82</t>
  </si>
  <si>
    <t>WALTER SIQUEIRA BRITO</t>
  </si>
  <si>
    <t>Chefe da Divisão de Contratos e Convênios - DCCON,</t>
  </si>
  <si>
    <t>Cooperação técnica na área de inteligência e investigação criminal, entre o MPAC e o MPAM, a ser desenvolvida por meio do uso integrado do Sistema RETINA, banco de dados criado pelo Núcleo de Apoio Técnico - NAT do MPAC, que abriga informações relacionadas à Organizações Criminosas (ORCRIM´s) e a seus integrantes.</t>
  </si>
  <si>
    <t>DOMPE: 13/09/2022</t>
  </si>
  <si>
    <t>2022.007329</t>
  </si>
  <si>
    <t>MINISTÉRIO PÚBLICO DO ESTADO DO ACRE</t>
  </si>
  <si>
    <t>04.034.450/0001-56</t>
  </si>
  <si>
    <t>DANILO LOVISARO DO NASCIMENTO</t>
  </si>
  <si>
    <t>SHEYLA ANDRADE DOS SANTOS, Promotora de Justiça de Entrância Final</t>
  </si>
  <si>
    <t>Cooperação entre o PRIMEIRO PARTÍCIPE e  o SEGUNDO PARTÍCIPE, com fito de disponibilizar vagas, às crianças, adolescentes e jovens atendidos no Programa de Atenção às Pessoas em Situação de Vulnerabilidade Psicossocial  RECOMEÇAR, nos cursos ofertados pelo Liceu.</t>
  </si>
  <si>
    <t>DOMPE: 1/09/2022</t>
  </si>
  <si>
    <t>SECRETARIA DE ESTADO DE CULTURA E ECONOMIA CRIATIVA</t>
  </si>
  <si>
    <t>51.531.051/0001-80</t>
  </si>
  <si>
    <t>CÂNDIDO JEREMIAS CUMARU NETO</t>
  </si>
  <si>
    <t>Coordenador do Centro de Apoio Operacional de Inteligência, Investigação Criminal e Combate ao Crime Organizado – CAO-CRIMO</t>
  </si>
  <si>
    <t>Comunhão de esforços com o objetivo de receber, encaminhar e processar as demandas de violência contra a mulher, em relação aos direitos políticos, à igualdade de gênero e à participação feminina da mulher candidata e exercente de mandato, sobretudo nas eleições de 2022, recebidas pelos canais de atendimento das ouvidorias dos entes cooperados no estado do Amazonas, e encaminhá-las aos órgãos parceiros competentes para atuar no caso, de acordo com sua especialidade e competência, com a anuência do noticiante.</t>
  </si>
  <si>
    <t>DOMPE: 2/08/2022</t>
  </si>
  <si>
    <t>2022.006391</t>
  </si>
  <si>
    <t>JORGE MANOEL LOPES LINS</t>
  </si>
  <si>
    <r>
      <t> </t>
    </r>
    <r>
      <rPr>
        <sz val="11"/>
        <color rgb="FF000000"/>
        <rFont val="Calibri"/>
        <family val="2"/>
      </rPr>
      <t>LAURO TAVARES DA SILVA</t>
    </r>
  </si>
  <si>
    <t>O presente instrumento tem por objeto o desenvolvimento de programas de cooperação técnica dirigido à troca e compartilhamento de informações cadastrais e geográficas e abrangerá, em especial:
I  intercâmbio de informações cadastrais e geográficas; II  permuta e aperfeiçoamento de técnicas e metodologias adotadas no trabalho de planejamento; III  realização de atividades conjuntas de atualização cadastral e geoprocessamento.</t>
  </si>
  <si>
    <t>2021.005215</t>
  </si>
  <si>
    <t>PREFEITURA MUNICIPAL DE MANAUS</t>
  </si>
  <si>
    <t>04.365.326/0001-73</t>
  </si>
  <si>
    <t>CLÉCIO DA CUNHA FREIRE - CPF:***.237.702-**</t>
  </si>
  <si>
    <t>COORDENADOR DO CAO CRIMO</t>
  </si>
  <si>
    <t>Doação de Serviço de buffet oferecido em solenidade do MPAM</t>
  </si>
  <si>
    <t>DOMPE: 23/09/2022</t>
  </si>
  <si>
    <t>2022.014132</t>
  </si>
  <si>
    <t>Ralph Barauna Assayag</t>
  </si>
  <si>
    <t>DOAÇÃO</t>
  </si>
  <si>
    <t>Adesão do ADERENTE à RedeMAIS, do Programa Meio Ambiente Integrado e Seguro  Programa Brasil MAIS, tendo como contrapartida o fornecimento de dados para o MJSP.</t>
  </si>
  <si>
    <t>DOMPE: 5/08/2022</t>
  </si>
  <si>
    <t>2021.007864</t>
  </si>
  <si>
    <t>00.394.494/0001-36</t>
  </si>
  <si>
    <t>LUANA QUITERIA MAGALHAES HATSUMURA - CPF:***.674.261-**</t>
  </si>
  <si>
    <t>CAIO LÚCIO FENELON ASSIS BARROS - PAULO STÉLIO SABBÁ GUIMARÃES - MARIA JOSÉ DA SILVA NAZARÉ - GEORGE PESTANA VIEIRA - TADEU AZEVEDO DE MEDEIROS</t>
  </si>
  <si>
    <t>Cooperação e o intercâmbio na área de Tecnologia da Informação entre os partícipes para viabilizar ao MPE/AM a utilização do Sistema Unificado de Certidões, desenvolvido pelo TJAM para atender a emissão de certidões com a consulta nos sistemas SAJ e PROJUDI.
Fundamento Legal: art. 116, da Lei n.º 8.666/93.</t>
  </si>
  <si>
    <t>DOMPE: 22/07/2022</t>
  </si>
  <si>
    <t>2022.012971</t>
  </si>
  <si>
    <t>04.153.748/0001-85</t>
  </si>
  <si>
    <t>FLAVIO HUMBERTO PASCARELI LOPES - CPF:***.728.232-**</t>
  </si>
  <si>
    <t>Constitui o objeto do presente acordo a Cooperação Técnica e Pedagógica para implantação de um regime especial de produção, edição e transmissão de cursos, seminários, palestras e assemelhados, apresentados de forma não presencial, com a utilização de tecnologia e conhecimento já existentes no Centro de Mídias do Estado do Amazonas (CEMEAM) nas áreas de interesse das partes, em atendimento ao ofício n°. 0981.2022. PGJ, Plano de Trabalho e Parecer n°. 2.011/2022- ASSJUR, partes integrantes do ajuste.</t>
  </si>
  <si>
    <t>2020.019967</t>
  </si>
  <si>
    <t>SECRETARIA DE ESTADO DA EDUCAÇÃO E QUALIDADE NO ENSINO DO ESTADO DO AMAZONAS (SEDUC-AM)</t>
  </si>
  <si>
    <t>MARIA JOSEPHA PENELLA PÊGAS CHAVES</t>
  </si>
  <si>
    <t>Chefe do Centro de Estudos e Aperfeiçoamento Funcional do Ministério Público - CEAF/MPAM</t>
  </si>
  <si>
    <t>Estabelecer as condições de cooperação técnica, jurídico-científica e pedagógica entre o Centro de Estudos para o Aperfeiçoamento Funcional do Ministério Público do Estado do Amazonas (CEAF-MP/AM) e a Escola de Contas Públicas do Tribunal de Contas do Estado do Amazonas (ECP-TCE/AM).</t>
  </si>
  <si>
    <t>DOMPE: 02/08/2022</t>
  </si>
  <si>
    <t>2018.017208</t>
  </si>
  <si>
    <t>TRIBUNAL DE CONTAS DO ESTADO DO AMAZONAS</t>
  </si>
  <si>
    <t>ERICO XAVIER DESTERRO E SILVA - CPF:***.608.912-**</t>
  </si>
  <si>
    <t>A cooperação técnica entre os partícipes para cessão definitiva, pelo Ministério Público do Estado do Amazonas, do direito de uso do Sistema de Rastreamento de Torturas -- RTAM para o Ministério Público do Estado do Acre, bem como para auxiliar na documentação e suporte técnico de instalação do referido sistema, após estudo de viabilidade técnica do sistema e aprovação por parte do MPAC.</t>
  </si>
  <si>
    <t>2022.013415</t>
  </si>
  <si>
    <t>MINISTÉRIO PUBLICO DO ESTADO DO ACRE</t>
  </si>
  <si>
    <t>DANILO LOVISARO DO NASCIMENTO - CPF:***.299.517-**</t>
  </si>
  <si>
    <t>TERMO DE ADESÃO AO ACORDO DE COOPERAÇÃO TÉCNICA</t>
  </si>
  <si>
    <t>Adesão ao Acordo de Cooperação Técnica celebrado entre o Conselho Nacional do Ministério Público e a Controladoria-Geral da União, em 07 de fevereiro de 2022, que tem por finalidade fortalecer a cooperação e a integração entre as instituições, através do desenvolvimento e da inovação em segurança pública, observada a legislação vigente, e a capacitação e o aperfeiçoamento de recursos humanos do CNMP, do Ministério Público brasileiro e da CGU, compreendendo a realização de cursos e outros eventos afins, com a participação de membros e servidores dos respectivos órgãos, conforme especificações estabelecidas no Plano de Trabalho anexo ao referido Acordo.</t>
  </si>
  <si>
    <t>DOMPE: 29/06/2022</t>
  </si>
  <si>
    <t>2022.008853</t>
  </si>
  <si>
    <t>Adesão ao Acordo de Cooperação Técnica celebrado entre o Instituto Nacional do Seguro Social - INSS e o Conselho Nacional do Ministério Público - CNMP, assinado em 5 de agosto de 2021, publicado no Diário Oficial da União nº 148, de 6 de agosto de 2021, Seção 3, pág. 146, tendo como objeto a disponibilização, por parte do INSS, do acesso aos dados do Cadastro Nacional de Informações Sociais - CNIS, do Sistema de Benefícios - SISBEN, do Sistema Nacional de Registro Civil - SIRC, bem como de outro (s) cadastro (s) que vier (em) a substituí-lo (s) para todas as unidades do Ministério Público.</t>
  </si>
  <si>
    <t>2022.005850</t>
  </si>
  <si>
    <t>CONSELHO NACIONAL DO MINISTÉRIO PÚBLICO,</t>
  </si>
  <si>
    <t>ANTÔNIO AUGUSTO BRANDÃO DE ARAS - CPF:***.975.555-**</t>
  </si>
  <si>
    <t>Coordenador do Centro de Apoio Operacional de Inteligência, Investigação Criminal e Combate ao Crime Organizado - CAO-CRIMO</t>
  </si>
  <si>
    <t>Estabelecer as condições de cooperação técnica, jurídico-científica e pedagógica entre o Centro de Estudos para o Aperfeiçoamento Funcional do Ministério Público do Estado do Amazonas (CEAF-MP/AM) e a Escola do Legislativo Vereadora Léa Alencar Antony - Câmara Municipal de Manaus (ESCOLEGISCMM).</t>
  </si>
  <si>
    <t>DOMPE: 15/06/2022</t>
  </si>
  <si>
    <t>2022.004129</t>
  </si>
  <si>
    <t>DAVID VALENTE REIS</t>
  </si>
  <si>
    <t>Chefe do Centro de Estudos e Aperfeiçoamento Funcional do Ministério Público - CEAF</t>
  </si>
  <si>
    <t>Comunhão de esforços visando à criação de seções eleitorais em estabelecimentos prisionais e em unidades de internação tratadas pelo Estatuto da Criança e do Adolescente, na capital do Estado do Amazonas, a fim de que os presos provisõrios e os adolescentes internados por ato infracional tenham assegurado o direito de voto.</t>
  </si>
  <si>
    <t>DOU: 24/06/2022
DOMPE: 29/07/2022</t>
  </si>
  <si>
    <t xml:space="preserve"> Coordenador do Centro de Apoio Operacional às Promotorias Eleitorais CAO-PE</t>
  </si>
  <si>
    <t>Estabelecer vínculo entre o MPAM e a SEDUC/AM,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</si>
  <si>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25/04/2022</t>
  </si>
  <si>
    <t>2021.009158</t>
  </si>
  <si>
    <t>Secretaria de Estado de Educação e Desporto do Amazonas - SEDUC/AM</t>
  </si>
  <si>
    <t>JOSPHA PENELLA PEGAS CHAVES</t>
  </si>
  <si>
    <t>CHEFE DA DIVISÃO DE RECURSOS HUMANO</t>
  </si>
  <si>
    <t>Doação de equipamentos de informática do  TRIBUNAL DE JUSTIÇA DO ESTADO DO AMAZONAS para MINISTÉRIO PÚBLICO DO ESTADO DO AMAZONAS (CIRA)</t>
  </si>
  <si>
    <t>DOMPE: 1/04/2022</t>
  </si>
  <si>
    <t>2021.010743</t>
  </si>
  <si>
    <t>DOMINGOS JORGE CHALUB PEREIRA</t>
  </si>
  <si>
    <t>O presente termo tem por finalidade a permuta ad corpus de imóveis entre o MINISTÉRIO PÚBLICO DO ESTADO DO AMAZONAS, denominado PRIMEIRO PERMUTANTE, e o MUNICÍPIO DE MANACAPURU/AM, denominada SEGUNDO PERMUTANTE, nos termos constantes do Processo n.º 2017.008813. Parágrafo único. O bens permutados destinam-se ao atendimento, exclusivamente, de interesse público.</t>
  </si>
  <si>
    <t>DOMPE: 3/03/2022</t>
  </si>
  <si>
    <t>2017.008813</t>
  </si>
  <si>
    <t>PREFEITURA MUNICIPAL DE MANACAPURU</t>
  </si>
  <si>
    <t>04.274.064/0001-31</t>
  </si>
  <si>
    <t>BETANAEL DA SILVA D´ANGELO</t>
  </si>
  <si>
    <t>CHEFE DO SETOR DE PATRIMONIO</t>
  </si>
  <si>
    <t>TERMO DE ADESÃO AO PACTO NACIONAL DA PRIMEIRA INFANCIA</t>
  </si>
  <si>
    <t>Aderir ao Pacto Nacional pela Primeira Infância, celebrado entre o Conselho Nacional de Justiça e os Atores da Rede de Atenção à Primeira Infância - Região Norte (Processo SEI CNJ nº 05906/2019).</t>
  </si>
  <si>
    <t>DOMPE: 29/03/2022</t>
  </si>
  <si>
    <t>MINISTERIO DA MULHER, DA FAMILIA E DOS DIREITOS HUMANOS</t>
  </si>
  <si>
    <t>23.170.931/0001-33</t>
  </si>
  <si>
    <t>ROMINA CARMEN BRITO CARVALHO</t>
  </si>
  <si>
    <t>Adesão ao Acordo de Cooperação Técnica Nº 008-2021, celebrado entre o Conselho Nacional do Ministério Público e a Polícia Rodoviária Federal, em 5 de outubro de 2021, publicado no Diário Oficial da União nº 190, de 6 de outubro de 2021, que tem por finalidade fortalecer a cooperação e a integração entre as instituições, através do desenvolvimento e da inovação em segurança pública, observada a legislação vigente, e a capacitação e o aperfeiçoamento de recursos humanos do CNMP, do Ministério Público brasileiro e da PRF, compreendendo a realização de cursos e outros eventos afins, com a participação de membros e servidores dos respectivos órgãos, conforme especificações estabelecidas no Plano de Trabalho anexo ao referido Acordo.</t>
  </si>
  <si>
    <t>2021.018195</t>
  </si>
  <si>
    <t>MARCELO WEITZEL RABELLO DE SOUZA - CPF:***.823.371-**</t>
  </si>
  <si>
    <t>Adesão ao Termo de Cooperação Técnica n. 081/2021, celebrado entre o Conselho Nacional de Justiça e o Conselho Nacional do Ministério Público, que tem por finalidade o desenvolvimento e uso colaborativo da Plataforma Digital do Poder Judiciário Brasileiro - PDPJ-Br pelo CNMP, com ênfase na modernização do Processo Judicial eletrônico – PJe para o aperfeiçoamento de seus mecanismos de integração com as soluções tecnológicas utilizadas pelo Ministério Público e pelos demais integrantes do sistema de Justiça brasileiro, ficando o CNMP com a função de orquestrador dos órgãos dos Ministérios Públicos, oportunidade em que se compromete a cumprir os seus objetivos, na forma e nas condições estabelecidas em suas cláusulas.</t>
  </si>
  <si>
    <t>DOU: 2/03/2022
DOMPE: 9/02/2022</t>
  </si>
  <si>
    <t>2021.018287</t>
  </si>
  <si>
    <t>ANDRE LAVAREDA FONSECA</t>
  </si>
  <si>
    <t>Estabelecer vínculo entre o MPAM e o IFAM,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</si>
  <si>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13/12/2021</t>
  </si>
  <si>
    <t>2021.009097</t>
  </si>
  <si>
    <t>INSTITUTO FEDERAL DE EDUCAÇÃO, CIÊNCIA E TECNOLOGIA DO AMAZONAS</t>
  </si>
  <si>
    <t>10.792.928/0001-00</t>
  </si>
  <si>
    <t>JAIME CAVALCANTE ALVES - CPF:***.214.702-**
FABRÍCIO ROGÉRIO CYRINO BARBOSA - CPF:***.909.372-**</t>
  </si>
  <si>
    <t>DIRETOR DE ADMINISTRAÇÃO</t>
  </si>
  <si>
    <t>Estabelecer parcerias institucionais para o intercâmbrio e a cooperação técnica relacionados à Defesa do Consumidor e da Ordem Econômica.</t>
  </si>
  <si>
    <t>DOMPE: 9/12/2021</t>
  </si>
  <si>
    <t>2020.022665</t>
  </si>
  <si>
    <t>Ministério Publico Federal</t>
  </si>
  <si>
    <t>94.953.767/0001-89</t>
  </si>
  <si>
    <t>PAULO ROBERTO BINICHESKI</t>
  </si>
  <si>
    <t>SHEYLA ANDRADE DOS SANTOS  PT 3155/2021/PGJ</t>
  </si>
  <si>
    <t>Constitui objeto do presente ACORDO estabelecer as condições de cooperação técnica, jurídico- científica e pedagógica entre o MPAM, por meio do seu Centro de Estudos e Aperfeiçoamento Funcional (CEAF), e a SEAD, através da Escola de Gestão e Aperfeiçoamento do Servidor Público (ESASP).</t>
  </si>
  <si>
    <t>DOMPE: 19/11/2021</t>
  </si>
  <si>
    <t>2019.001263</t>
  </si>
  <si>
    <t>FABRÍCIO ROGÉRIO CYRINO BARBOSA - CPF:***.909.372-**</t>
  </si>
  <si>
    <t>DARLAN BENEVIDES DE QUEIROZ  - CHEFE DO CEAF/MPAM</t>
  </si>
  <si>
    <t>Implementar mecanismo de controle das mortes dentro das unidades prisionais do Estado do Amazonas, capital e interior, por meio da acesso aos sistemas e/ou banco de dados da SECRETARIA DE ESTADO DE SEGURANÇA PÚBLICA DO AMAZONAS e da SECRETARIA DE ESTADO DE ADMINISTRAÇÃO PENITENCIÁRIA DO AMAZONAS ao MINISTÉRIO PÚBLICO DO ESTADO DO AMAZONAS, a fim de garantir o respeito à integridade física e moral dos condenados e dos presos provisórios, conservando eles todos os direitos não atingidos pela perda da liberdade, como determinam o art. 5º, XLIX, da CRFB, o art. 38 do CP e o art. 40 da da Lei de Execução Penal</t>
  </si>
  <si>
    <t>DOMPE: 16/11/2021</t>
  </si>
  <si>
    <t>2020.003180</t>
  </si>
  <si>
    <t>Carlos Alberto Mansur - CPF:***.354.867-**
MARCUS VINICIUS OLIVEIRA DE ALMEIDA - CPF:***.293.562-**</t>
  </si>
  <si>
    <t>Coordenador do Centro de Apoio Operacional de Inteligência, Investigação e de Combate ao Crime Organizado - CAO-CRIMO- PT N° 2183/2022/PGJ</t>
  </si>
  <si>
    <t>O Acordo de Cooperação Técnica tem por finalidade a conjugação de esforços, por meio do intercâmbio de conhecimento, informações, sistemas e outras ações, com a finalidade de fortalecer a cooperação e a integração entre as instituições, através do desenvolvimento e da inovação em segurança pública.</t>
  </si>
  <si>
    <t>DOMPE: 10/11/2021</t>
  </si>
  <si>
    <t>2021.003517</t>
  </si>
  <si>
    <t>SUPERINTENDÊNCIA DA POLÍCIA RODOVIÁRIA FEDERAL NO AMAZONAS</t>
  </si>
  <si>
    <t>00.394.494/0105-22</t>
  </si>
  <si>
    <t>DIEGO JOAQUIM DE MOURA PATRIOTA</t>
  </si>
  <si>
    <t>Coordenador do Centro de Apoio Operacional de Inteligência, Investigação e de Combate ao Crime Organizado - CAO-CRIMO</t>
  </si>
  <si>
    <t>Cessão de Uso o imóvel pertencente ao CEDENTE, Matrícula nº 609, localizado na Rua Manoel Pinto Brandão, esquina com a Avenida Professor Januário Nazaré, nº 361, bairro Centro, Município de Anori/AM.</t>
  </si>
  <si>
    <t>DOMPE: 5/11/2011</t>
  </si>
  <si>
    <t>2020.022054</t>
  </si>
  <si>
    <t>PREFEITURA MUNICIPAL DE ANORI/AM</t>
  </si>
  <si>
    <t>04.262.762/0001-17</t>
  </si>
  <si>
    <t>Reginaldo Nazaré da Costa - CPF:***.630.312-**</t>
  </si>
  <si>
    <t xml:space="preserve">Tornar parceiro da Rede +Brasil por meio da adesão ao Acordo de Cooperação Técnica nº 148/2021,
celebrado entre a União, via Ministério da Economia (ME), por meio da Secretaria de Gestão, da
Secretaria Especial de Desburocratização, Gestão e Governo Digital (SEGES/SEDGG), e o Conselho
Nacional do Ministério Público (CNMP).
</t>
  </si>
  <si>
    <t>DOMPE: 13/10/2021</t>
  </si>
  <si>
    <t>2021.014525</t>
  </si>
  <si>
    <t>11.439.520/0001-11,</t>
  </si>
  <si>
    <t>DOMINGOS JORGE CHALUB PEREIRA - CPF:***.981.942-**
JOANA DOS SANTOS MEIRELLES - CPF:***.572.202-**</t>
  </si>
  <si>
    <t>MARCOS ANDRÉ ABENSUR/Ag Tec - Contador - AFRÂNIO CORRÊA LIMA JÚNIOR/Ag Tec - Economista - PT Nº 2679/2021/PGJ</t>
  </si>
  <si>
    <t>Estabelecer vínculo entre o MPAM e a UEA,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</si>
  <si>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20/10/2021</t>
  </si>
  <si>
    <t>2021.008995</t>
  </si>
  <si>
    <t>CLEINALDO DE ALMEIDA COSTA - CPF ***.407.612-**</t>
  </si>
  <si>
    <t>Cooperação técnica entre os partícipes, mediante a mútua conjugação de esforços com vistas à garantir o cumprimento dos direitos de crianças e adolescentes, filhos de mulheres em situação de privação de liberdade, tendo em vista o pleno desenvolvimento infanto juvenil para a construção de um projeto de vida pró-ativo e saudável.</t>
  </si>
  <si>
    <t>DOMINGOS JORGE CHALUB PEREIRA - CPF***.981.942-**
JOANA DOS SANTOS MEIRELLES - CPF:***.572.202-**</t>
  </si>
  <si>
    <t>Cooperação recíproca em áreas de interesse e competência das partes, no que diz respeito a Atividade de Inteligência, à proteção de conhecimentos sensíveis; ao intercambio de dados e conhecimentos de Inteligência, observada a legislação vigente; à capacitação e ao aperfeiçoamento de recursos humanos do CNMP do Ministério Público brasileiro e da ABIN, compreendendo a realização de curso e outros eventos afins, com a participação de membros e servidores dos respectivos órgãos, conforme especificações estabelecidas no Plano de Trabalho.</t>
  </si>
  <si>
    <t>DOMPE: 28/09/2021</t>
  </si>
  <si>
    <t>2021.008285</t>
  </si>
  <si>
    <t>MARCELO WEITZEL RABELLO DE SOUZA</t>
  </si>
  <si>
    <t>CHEFE DA DIISÃO DE RECURSOS HUMANO</t>
  </si>
  <si>
    <t>Adotar metodologia de estudos e informações sobre feminicício, visando auxiliar a atuação de membros do Ministério Público, seja na área de repressão ou prevenção desse tipo de crime e outras violências contra as mulheres.</t>
  </si>
  <si>
    <t>DOMPE: 21/09/2021</t>
  </si>
  <si>
    <t>2021.015212</t>
  </si>
  <si>
    <t>Katia Rejane de Araújo Rodrigues</t>
  </si>
  <si>
    <t>DAVI SANTANA DA CAMARA</t>
  </si>
  <si>
    <t>Visa possibilitar aos Membros e Servidores do Ministério Público o acesso a informações e tecnologias sobre o uso da terra no Brasil, para a proteção do meio ambiente.</t>
  </si>
  <si>
    <t>DOU: 25/08/2021
DOMPE: 9/09/2021</t>
  </si>
  <si>
    <t>2020.016889</t>
  </si>
  <si>
    <t>Jaime de Cassio Miranda</t>
  </si>
  <si>
    <t>Daniel Praia Portela de Aguiar</t>
  </si>
  <si>
    <t>Estabelecer vínculo entre o MPAM e a FBN,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</si>
  <si>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23/09/2021</t>
  </si>
  <si>
    <t>2021.009767</t>
  </si>
  <si>
    <t>FACULDADE BOAS NOVAS DE CIÊNCIAS TEOLÓGICAS, SOCIAIS E BIOTECNOLÓGICAS</t>
  </si>
  <si>
    <t>04.006.474/0001-00</t>
  </si>
  <si>
    <t>DANIEL BARROS DE LIMA - CPF:***.107.482-**</t>
  </si>
  <si>
    <t>Estabelecer vínculo entre o MPAM e o Instituto Metropolitano de Ensino - IME,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</si>
  <si>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9/09/2021</t>
  </si>
  <si>
    <t>2021.008991</t>
  </si>
  <si>
    <t>INSTITUTO METROPOLITANO DE ENSINO-IME</t>
  </si>
  <si>
    <t>03.817.341/0001-42</t>
  </si>
  <si>
    <t>WELLINGTON LINS DE ALBUQUERQUE JUNIOR - CPF:***.183.923-**</t>
  </si>
  <si>
    <t>Cessão de uso de espaço em imóvel de propriedade do CEDENTE, de 64m², situado na Rua Dr. João Fábio de Araújo, s/n, Bairro Centro, no município de Lábrea, Estado do Amazonas, CEP 69830-000, para utilização pelo CESSIONÁRIO, com o fim exclusivo de instalação da sede do Centro de Referência Especializado de Assistência Social - CREAS da cidade de Lábrea/AM.</t>
  </si>
  <si>
    <t>DOMPE: 16/08/2021</t>
  </si>
  <si>
    <t>2021.005860</t>
  </si>
  <si>
    <t>MUNICÍPIO DE LÁBREA</t>
  </si>
  <si>
    <t>05.830.872/0001-09</t>
  </si>
  <si>
    <t>GEAN CAMPOS DE BARROS - CPF:***.682.572-**</t>
  </si>
  <si>
    <t>Chefe da Unidade Administrativa Descentraliad</t>
  </si>
  <si>
    <t>Estabelecer vínculo entre o MPAM e a FMF/WYDEN,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</si>
  <si>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13/08/2021</t>
  </si>
  <si>
    <t>2021.009160</t>
  </si>
  <si>
    <t>INSTITUTO DE ENSINO SUPERIOR DA AMAZÔNIA LTDA</t>
  </si>
  <si>
    <t>ADRIANO RAMOS REMOR - CPF:***.796.292-**</t>
  </si>
  <si>
    <t>Estabelecer vínculo entre o MPAM e a FAMETRO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</si>
  <si>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9/08/2021</t>
  </si>
  <si>
    <t>CENTRO UNIVERSITÁRIO CEUNI - FAMETRO</t>
  </si>
  <si>
    <t>Estabelecer vínculo entre o MPAM e a FACULDADE LA SALLE MANAUS,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</si>
  <si>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09/08/2021</t>
  </si>
  <si>
    <t>2021.009253</t>
  </si>
  <si>
    <t>Facildade La Salle Manaus</t>
  </si>
  <si>
    <t> 92.741.990/0008-03,</t>
  </si>
  <si>
    <t>FRANCISCO JOSÉ SOUZA BEZERRA</t>
  </si>
  <si>
    <t>O ACORDO tem por finalidade ampliar e aprimorar, de modo expresso e efetivo, a integração entre as instituições e os órgãos públicos PARTÍCIPES, nas diversas esferas da Administração Pública com atuação no Estado do Amazonas, mediante a adesão à Rede de Controle da Gestão Pública, com a finalidade de desenvolver ações direcionadas à fiscalização da gestão pública, ao diagnóstico e combate à corrupção, ao incentivo e fortalecimento do controle social, ao tráfego de informações e documentos, ao intercâmbio de experiências e à capacitação dos seus quadros.</t>
  </si>
  <si>
    <t>DOU: 16/08/2021
DOMPE: 18/08/2021</t>
  </si>
  <si>
    <t>2020.010334</t>
  </si>
  <si>
    <t>Controladoria Geral do Estado do Amazonas</t>
  </si>
  <si>
    <t>06.103.640/0001-03</t>
  </si>
  <si>
    <t>Coordenadoria - CAO_PDCC Coordenadoria CAO-CRIMO - GAECO,</t>
  </si>
  <si>
    <t>O presente Acordo de Cooperação tem como objeto a obtenção de atendimento psicossocial para casos considerados graves e urgentes oriundos da Delegacia Especializada na Apuração de Atos Infracionais (DEAAI), além da realização e emissão de relatórios de casos psicossociais.-</t>
  </si>
  <si>
    <t>DOMPE: 2/08/2021</t>
  </si>
  <si>
    <t>2020.004093</t>
  </si>
  <si>
    <t>DELEGACIA-GERAL DE POLÍCIA CIVIL (DGPC/AM)</t>
  </si>
  <si>
    <t>EMÍLIA FERRAZ DE CARVALHO - CPF:***.573.003-**</t>
  </si>
  <si>
    <t>Estabelecer vínculo entre o MPAM e a FUCAPI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</si>
  <si>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27/07/2021</t>
  </si>
  <si>
    <t>2021.009765</t>
  </si>
  <si>
    <t>FUNDAÇÃO CENTRO DE ANÁLISE, PESQUISA E INOVAÇÃO TECNOLÓGICA</t>
  </si>
  <si>
    <t>04.153.540/0001-66</t>
  </si>
  <si>
    <t>ISA ASSEF DOS SANTOS - CPF:***.729.112-**</t>
  </si>
  <si>
    <t xml:space="preserve">Estabelecer vínculo entre o MPAM e o CIESA,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 </t>
  </si>
  <si>
    <t>DOMPE: 22/07/2021</t>
  </si>
  <si>
    <t>2021.008793</t>
  </si>
  <si>
    <t>CENTRO UNIVERSITÁRIO DE ENSINO SUPERIOR DO AMAZONAS - CIESA</t>
  </si>
  <si>
    <t>04.278.057/0001-08</t>
  </si>
  <si>
    <t>Estabelecer vínculo entre o MPAM e o CEULM/ULBRA,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</si>
  <si>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20/07/2021</t>
  </si>
  <si>
    <t>2021.009223</t>
  </si>
  <si>
    <t>CENTRO UNIVERSITÁRIO LUTERANO DE MANAUS</t>
  </si>
  <si>
    <t>88.332.580/0024-51</t>
  </si>
  <si>
    <t>NATHALLYA CASTRO MONTEIRO ALVES - CPF:***.460.543-**</t>
  </si>
  <si>
    <t>Estabelecer vínculo entre o MPAM e a UNINORTE,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</si>
  <si>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12/07/2021</t>
  </si>
  <si>
    <t>2021.008786</t>
  </si>
  <si>
    <t>CENTRO UNIVERSITÁRIO DO NORTE - MANAUS</t>
  </si>
  <si>
    <t>04.986.320/0001-13</t>
  </si>
  <si>
    <t>GUILHERME DANTAS CARDOSO - CPF:***.192.627-**</t>
  </si>
  <si>
    <t>Parceria entre Ministério Público do Estado do Amazonas e o Governo do Estado do Amazonas, por intermédio de sua Secretaria Executiva de Assuntos Administrativos, com o fito de renovar o Termo de Cooperação n. 003/2016 MP/PGJ assinado em 05 de julho de 2016, de modo a  manter  e ampliar equipe interprofissional visando ao atendimento de pessoas em situação de vulnerabilidade psicossocial no âmbito do Programa Recomeçar  que é sediado no Prédio Anexo do Ministério Publico do Estado do Amazonas.</t>
  </si>
  <si>
    <t>DOMPE: 1/07/2021</t>
  </si>
  <si>
    <t>2021.002028</t>
  </si>
  <si>
    <t>CASA CIVIL</t>
  </si>
  <si>
    <t>13.406.934/0001-70</t>
  </si>
  <si>
    <t>TATIANA ALMEIDA FREIRE DE SOUZA</t>
  </si>
  <si>
    <t>Estabelecer as condições de cooperação técnica, jurídico-científica e pedagógica entre o Centro de Estudos para o Aperfeiçoamento Funcional do Ministério Público do Estado do Amazonas (CEAF-MP/AM) e a Escola do Legislativo da Assembléia Legislativa do Estado do Amazonas (ESCOLA ALEAM).</t>
  </si>
  <si>
    <t>DOMPE: 25/06/2021</t>
  </si>
  <si>
    <t>2018.017214</t>
  </si>
  <si>
    <t>Roberto Maia Cidade Filho - CPF:***.124.952-**</t>
  </si>
  <si>
    <t>Estabelecer vínculo entre o MPAM e a FACULDADE SANTA TERESA,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</si>
  <si>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10/06/2021</t>
  </si>
  <si>
    <t>2021.008841</t>
  </si>
  <si>
    <t>MARIA DO CARMO SEFFAIR LINS DE ALBUQUERQU - CPF:***.586.902-**</t>
  </si>
  <si>
    <t>Estabelecer vínculo entre o MPAM e a NILTON LINS,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</si>
  <si>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16/06/2021</t>
  </si>
  <si>
    <t>2021.008767</t>
  </si>
  <si>
    <t>UNIVERSIDADE NILTON LINS</t>
  </si>
  <si>
    <t>04.803.904/0001-06</t>
  </si>
  <si>
    <t>GISELLE VILELA LINS MARANHÃO</t>
  </si>
  <si>
    <t>Estabelecer vínculo entre o MPAM e a UFAM,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</si>
  <si>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9/06/2021</t>
  </si>
  <si>
    <t>2021.008758</t>
  </si>
  <si>
    <t>UNIVERSIDADE FEDERAL DO AMAZONAS</t>
  </si>
  <si>
    <t>VANESSA KLISIA DE AGUIAR GONÇALVES FERREIRA - CPF:***.723.852-**</t>
  </si>
  <si>
    <t>Estabelecer vínculo entre o MPAM e a ESTÁCIO AMAZONAS,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</si>
  <si>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7/06/2021</t>
  </si>
  <si>
    <t>2021.007314</t>
  </si>
  <si>
    <t>SOCIEDADE DE ENSINO SUPERIOR ESTÁCIO DO AMAZONAS LTDA</t>
  </si>
  <si>
    <t>03.754.112/0001-26</t>
  </si>
  <si>
    <t>ADRIANA CHAGAS BORGES - CPF:***.414.374-**</t>
  </si>
  <si>
    <t>Estabelecer vínculo entre o MPAM e a ESBAM,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</si>
  <si>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ESCOLA SUPERIOR BATISTA DO AMAZONAS-ESBAM</t>
  </si>
  <si>
    <t>03.410.604/0001-02</t>
  </si>
  <si>
    <t>RUBENITO CARDOSO DA SILVA JÚNIOR - CPF:***.886.432-**</t>
  </si>
  <si>
    <t>Concessão de empréstimo, com averbação das prestações decorrentes em folha de pagamento, aos servidores da CONVENENTE.</t>
  </si>
  <si>
    <t>DOMPE: 20/05/2021</t>
  </si>
  <si>
    <t>2018.019232</t>
  </si>
  <si>
    <t>Humberto Ruiz Breval Neto - CPF:***.067.932-**</t>
  </si>
  <si>
    <t xml:space="preserve"> Chefia da Seção de Folha de Pagamento </t>
  </si>
  <si>
    <t>Adesão ao Sistema Informatizado Nacional de Ouvidorias (Sistema eOuv) em sua modalidade simples, nos termos do art. 12, §2º da instrução Normativa CGU nº 3, de 2019, e declara conhecer os seus Termos de Uso;</t>
  </si>
  <si>
    <t>DOMPE: 11/06/2021</t>
  </si>
  <si>
    <t>2018.005870</t>
  </si>
  <si>
    <t xml:space="preserve">REDE DE OUVIDORIAS DO MINISTÉRIO PÚBLICO </t>
  </si>
  <si>
    <t>ED TAYLOR MENESES DE SOUSA</t>
  </si>
  <si>
    <t>O presente Termo de Adesão do Ministério Público do Estado do Amazonas ao Acordo de Resultados  tem o compromisso de implementar, nos Ministérios Públicos dos Estados que compõem a Amazônia Legal, mecanismos específicos de enfrentamento à degradação florestal, ao desmatamento e a incêndios ilegais na região, a exemplo de forças-tarefa e grupos de atuação especial (GAEMAs), tendo como foco ações estratégicas e articuladas com os demais Ministérios Públicos e órgãos envolvidos na proteção e preservação da Amazônia, a troca de experiências e o aperfeiçoamento do trabalho do Ministério Público.</t>
  </si>
  <si>
    <t>2020.014158</t>
  </si>
  <si>
    <t>Conselho Nacional do Ministério Público</t>
  </si>
  <si>
    <t>Luciano Nunes Maia Freire</t>
  </si>
  <si>
    <t>SYLVIO HENRIQUE LORENA DUQUE ESTRADA</t>
  </si>
  <si>
    <t>O Presente Termo de Cooperação tem por objeto a articulação das ações dos cooperantes no intuito de propiciar maior eficácia na garantia da proteção e defesa dos direitos da pessoa idosa, especialmente visando à conscientização dos entes públicos e privados envolvidos no processo.</t>
  </si>
  <si>
    <t>DOMPE: 29/04/2021</t>
  </si>
  <si>
    <t>2017.013485</t>
  </si>
  <si>
    <t>FUNDAÇÃO DE APOIO AO IDOSO DR. THOMAS</t>
  </si>
  <si>
    <t>15.798.622/0001-84</t>
  </si>
  <si>
    <t>Martha Moutinho da Costa Cruz - CPF:***.274.602-**</t>
  </si>
  <si>
    <t>MIRTIL FERNANDES DO VALE</t>
  </si>
  <si>
    <t>Tem por finalidade o interesse comum da célere  e eficaz prestação de serviços públicos à sociedade amazonense,  através  da mútua cooperação técnica no intercâmbio de informação da base de dados entre os órgaos convenentes, através do sistema on-line relativos a composição societária (atos constitutivos e alterações), dados cadastrais e registros legais e econômico-fiscais, referentes às empresas registradas na JUCEA, a fim de agilizar os processos em trâmite no Ministério Público do Estado do Amazonas.</t>
  </si>
  <si>
    <t>DOMPE: 14/04/2021</t>
  </si>
  <si>
    <t>2020.013921</t>
  </si>
  <si>
    <t>JUNTA COMERCIAL DO ESTADO DO AMAZONAS - JUCEA.</t>
  </si>
  <si>
    <t>04.231.205/0001-39</t>
  </si>
  <si>
    <t>MARIA DE JESUS LINS GUIMARÃES - CPF:***.393.062-**</t>
  </si>
  <si>
    <t>Coordenador Do CAO-CRIMO/GAECO-AM</t>
  </si>
  <si>
    <t>O presente Acordo de Cooperação Técnica tem por objeto disciplinar o intercâmbio de tecnologias, conhecimentos e bases de dados entre os PARTÍCIPES, nos seguintes termos:
 I - O MINISTÉRIO PÚBLICO FEDERAL viabilizará a transferência de tecnologia e fornecerá suporte técnico para o recebimento e processamento de informações por meio do Sistema de Investigação de Movimentações Bancárias - SIMBA.
II - O MINISTÉRIO PÚBLICO DO ESTADO DO AMAZONAS fornecerá ao MPF, se houver, acesso a sistemas de informações e extrações periódicas de bases de informações estruturadas contendo dados de interesse finalístico, ressalvadas as informações sigilosas submetidas a reserva de jurisdição e as consideradas de caráter confidencial.
O Objeto do Acordo de Cooperação Técnica será executado mediante:
 I - A disponibilização de uso pela Secretaria Perícia, Pesquisa e Análise -SPPEA/PGR ao MPAM dos módulos do Sistema SIMBA, além de assessoria de treinamento dos usuários e assessoria técnica na implantação do Sistema;
II - A realização de ações conjuntas ou concomitantes, destinadas a facilitar a utilização do SIMBA e o primoramento de suas funcionalidades, desde que preliminarmente acordadas entre os partícipes; III - O fornecimento de acesso a outros sistemas de informações e as extrações periódicas de bases de informações pelo MPAM dar-se-ão conforme Protocolos de execução / Planos de trabalho acordados entre os partícipes, nos quais serão expressas as responsabilidades e obrigações, descritas tarefas, cronogramas e demais disposições pertinentes para a sua implementação.
PARÁGRAFO ÚNICO - Os Protocolos de execução / Planos de trabalho a que
alude o dispositivo anterior são firmados com a Secretaria Perícia, Pesquisa e Análise -SPPEA/PGR.</t>
  </si>
  <si>
    <t>DOMPE: 7/04/2021</t>
  </si>
  <si>
    <t>2020.009196</t>
  </si>
  <si>
    <t>MINISTÉRIO PÚBLICO FEDERAL</t>
  </si>
  <si>
    <t>ELIANA PERES TORELLY DE CARVALHO - CPF:***.564.591-**</t>
  </si>
  <si>
    <t>Coordenador do Centro de Apoio Operacional de Inteligência, Investigação e de Combate ao Crime Organizado - CAO-CRIMO -                          JOSE RICARDO SAMPAIO COUTINHO</t>
  </si>
  <si>
    <t>Renovação da cessão do direito de uso do SEI, Sistema Eletrônico de Informações, criado pelo TRF4, para o CESSIONÁRIO, para utilização em base única.</t>
  </si>
  <si>
    <t>DOU: 25/03/2021
DOMPE: 1/06/2021</t>
  </si>
  <si>
    <t>2020.004685</t>
  </si>
  <si>
    <t>TRIBUNAL REGIONAL FEDERAL DA 4ª REGIÃO</t>
  </si>
  <si>
    <t>92.518.737/0001-19</t>
  </si>
  <si>
    <t>VICTOR LUIZ DOS SANTOS LAUS</t>
  </si>
  <si>
    <t>Adesão ao Acordo de Cooperação Técnica celebrado entre o Conselho Nacional do Ministério Público e o Ministério do Meio Ambiente, para o estabelecimento da cooperação entre o MMA, tendo o Serviço Florestal Brasileiro (SFB) como interveniente, e o CNMP para transferência, acesso, compartilhamento, processamento e geração de dados e informações no Sistema de Cadastro Ambiental Rural (SICAR), observada a legislação federal pertinente sobre a matéria, no que couber.</t>
  </si>
  <si>
    <t>DOU: 17/03/2021
DOMPE: 20/05/2021</t>
  </si>
  <si>
    <t>2020.012679</t>
  </si>
  <si>
    <t>Antônio augusto Bransão Aras</t>
  </si>
  <si>
    <t>DANIEL PRAIA PORTELA DE AGUIAR</t>
  </si>
  <si>
    <t>Aderir  nos termos do art. 1º, parágrafos §1º e §2º da Portaria PRESI-CNMP nº 39, de 11 de março de 2020, o órgão ou entidade fará a adesão à Rede de Ouvidorias do Ministério Público na condição de: (x) Membro Pleno.</t>
  </si>
  <si>
    <t xml:space="preserve">DOMPE: 19/11/2020
</t>
  </si>
  <si>
    <t>2020.010227</t>
  </si>
  <si>
    <t>Suzete Maria Dos Santos – Gestor</t>
  </si>
  <si>
    <t>Cessão do direito de uso do INOVA - Sistema de Gestão de Projetos e Processes, para governança e gestão do planejamento estratégico local e de seus desdobramentos taticos e operacionais.</t>
  </si>
  <si>
    <t>DOMPE: 7/01/2020</t>
  </si>
  <si>
    <t>2019.018049</t>
  </si>
  <si>
    <t>MINISTERIO PUBLICO DO ESTADO DE SAO PAULO</t>
  </si>
  <si>
    <t>GIANPAOLO POGGIO SMANIO - CPF:***.700.118-**</t>
  </si>
  <si>
    <t xml:space="preserve">Gestor: Diretor De Planejamento Fiscal: Iamara Cavalcante Antunes
</t>
  </si>
  <si>
    <t>Possibilitar ao CNMP e Ministério Públicos Brasileiros,a solicitação de pareceres técnicos-científicos sobre medicamentos, procedimentos, tratamentos médicos e produtos, elaborados na forma, disposta no Termo de Cooperação Técnica nº 021/2016, celebrado entre o CNJ e o Ministério da Sáude em 23 de agosto de 2019, através do E-NatJus.</t>
  </si>
  <si>
    <t>DOU: 21/03/2019</t>
  </si>
  <si>
    <t>2019.001350</t>
  </si>
  <si>
    <t>RAQUEL ELIAS FERREIRA DODGE - CPF: ***.903.501-**</t>
  </si>
  <si>
    <t>Gestora/Fiscal: Silvana Nobre De Lima Cabral
PT 2446/2019/PGJ</t>
  </si>
  <si>
    <t>Mútua cooperação técnica e o intercâmbio de informações, entre a ASSPA (Assessoria de Pesquisa e Análise)  e o CAOCRIMO/ GAECO (Grupo de Atuação Especial de Combate ao Crime Organizado), que permitirá maior eficiência à administração pública, dando maior celeridade aos procedimentos investigativos conduzidos pela PR-AM e pela PGJ-AM</t>
  </si>
  <si>
    <t xml:space="preserve">DOMPE: 8/01/2019
</t>
  </si>
  <si>
    <t>2018.07655</t>
  </si>
  <si>
    <t>MINISTÉRIO PÚBLICO FEDERAL NO AMAZONAS</t>
  </si>
  <si>
    <t>EDMILSON DA COSTA BARREIROS JÚNIOR</t>
  </si>
  <si>
    <t>Gestor/Fiscal : Reinaldo Alberto Nery De Lima               PT 0045/2018/PGJ</t>
  </si>
  <si>
    <t>Propiciar a atuação coordenada e integrada de cada um de seus signatários, visando dar agilidade e efetividade na investigação e persecução dos crimes contra a ordem econômico-tributária.</t>
  </si>
  <si>
    <t xml:space="preserve">DOE: 22/09/2017
DOMPE: 26/09/2017
</t>
  </si>
  <si>
    <t>2017.008086</t>
  </si>
  <si>
    <t>SECRETARIA DE ESTADO DA FAZENDA - AM</t>
  </si>
  <si>
    <t>Afonso Lobo Moraes</t>
  </si>
  <si>
    <t>DANIEL LEITE BRITO  e   IGOR STARLING PEIXOTO</t>
  </si>
  <si>
    <t>Termo de Adesão ao Convênio de Cooperação Institucional celebrado entre o Banco Central do Brasil e o Conselho Nacional do Ministério Público, o qual assegura o acesso do MPE/AM às informações contidas no Cadastro de Clientes do Sistema Financeiro Nacional (CCS), objeto do Convênio de Cooperação BCB/CNMP nº 01/2013.</t>
  </si>
  <si>
    <t xml:space="preserve">DOE: 18/09/2014
DOMPE: 17/09/2014
</t>
  </si>
  <si>
    <t>2018.008932</t>
  </si>
  <si>
    <t xml:space="preserve">MAURICIO COSTA DE MOURA - CPF:***.491.281-**
</t>
  </si>
  <si>
    <t>Coordenador do CAO-CRIMO/GAECO-AM</t>
  </si>
  <si>
    <t>Ampliar a articulação, a integração e o intercâmbio entre os partícipes, visando a maior efetividade da proteção do patrimônio público.</t>
  </si>
  <si>
    <t>2020.020459</t>
  </si>
  <si>
    <t>CONTROLADORIA-GERAL DA UNIÃO</t>
  </si>
  <si>
    <t>MONA LIZA PRADO BENEVIDES</t>
  </si>
  <si>
    <t>Coordenadora do Centro de Apoio Operacional das Promotorias de Justiça Especializadas na Proteção e Defesa do Consumidor, dos Direitos Constitucionais do Cidadão e do Patrimônio Público - CAO-PDC</t>
  </si>
  <si>
    <t>Permitir aos membros e servidores, firmarem contrato de empréstimo, mediante consignação em folha de pagamento, com a referida empresa pública federal, com prazo limite de 60 ( sessenta ) meses.</t>
  </si>
  <si>
    <t>DOMPE: 26/09/2017</t>
  </si>
  <si>
    <t>139319</t>
  </si>
  <si>
    <t xml:space="preserve">Mário Tonon - CPF:***.125.618-**
</t>
  </si>
  <si>
    <t>Chefe da Seção de Folha de Pagaemnto</t>
  </si>
  <si>
    <t>Instrumentos vigentes:</t>
  </si>
  <si>
    <t>Instrumentos concluídos:</t>
  </si>
  <si>
    <t>Instrumentos rescindidos:</t>
  </si>
  <si>
    <t>Fonte: Divisão de Contratos e Convênios e Convênios / Diretoria de Planejamento</t>
  </si>
  <si>
    <t>Data da última atualização:</t>
  </si>
  <si>
    <t>Fundamento Legal: Resolução CNMP n.º 86/2012, art 5º, inciso II, alíneas "e", "h", "l" e "m".</t>
  </si>
  <si>
    <t>VALOR EXECUTADO CONCEDENTE</t>
  </si>
  <si>
    <t>VALOR EXECUTADO CONTRAPARTIDA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</si>
</sst>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R$&quot;\ #,##0.00;[Red]\-&quot;R$&quot;\ #,##0.00"/>
    <numFmt numFmtId="164" formatCode="d/m/yyyy"/>
    <numFmt numFmtId="165" formatCode="#,##0.00\ ;\(#,##0.00\);\-#\ ;@\ "/>
    <numFmt numFmtId="166" formatCode="&quot;R$ &quot;#,##0.00_);[Red]&quot;(R$ &quot;#,##0.00\)"/>
    <numFmt numFmtId="167" formatCode="[$R$-416]\ #,##0.00;[Red]\-[$R$-416]\ #,##0.00"/>
    <numFmt numFmtId="168" formatCode="&quot;R$ &quot;#,##0.00;[Red]&quot;-R$ &quot;#,##0.00"/>
    <numFmt numFmtId="169" formatCode="&quot;R$ &quot;#,##0.00"/>
    <numFmt numFmtId="170" formatCode="[$-416]d/m/yyyy"/>
    <numFmt numFmtId="171" formatCode="&quot;R$&quot;\ #,##0.00"/>
    <numFmt numFmtId="172" formatCode="dd/mm/yyyy\ hh:mm:ss"/>
  </numFmts>
  <fonts count="15" x14ac:knownFonts="1">
    <font>
      <sz val="10"/>
      <name val="Arial"/>
    </font>
    <font>
      <sz val="10"/>
      <color theme="10"/>
      <name val="Arial"/>
      <family val="2"/>
    </font>
    <font>
      <sz val="11"/>
      <name val="Calibri"/>
      <family val="2"/>
    </font>
    <font>
      <sz val="11"/>
      <color rgb="FF000000"/>
      <name val="Calibri"/>
      <family val="2"/>
    </font>
    <font>
      <b/>
      <sz val="11"/>
      <color rgb="FFFF0000"/>
      <name val="Calibri"/>
      <family val="2"/>
    </font>
    <font>
      <b/>
      <sz val="11"/>
      <color rgb="FF000000"/>
      <name val="Calibri"/>
      <family val="2"/>
    </font>
    <font>
      <b/>
      <sz val="11"/>
      <color rgb="FFFFFFFF"/>
      <name val="Calibri"/>
      <family val="2"/>
    </font>
    <font>
      <sz val="10"/>
      <color rgb="FF0563C1"/>
      <name val="Arial"/>
      <family val="2"/>
    </font>
    <font>
      <sz val="10"/>
      <name val="Arial"/>
      <family val="2"/>
    </font>
    <font>
      <b/>
      <sz val="10"/>
      <color rgb="FFFFFFFF"/>
      <name val="Calibri"/>
      <family val="2"/>
    </font>
    <font>
      <b/>
      <sz val="10"/>
      <color rgb="FF000000"/>
      <name val="Calibri"/>
      <family val="2"/>
    </font>
    <font>
      <sz val="11"/>
      <name val="Calibri"/>
      <family val="2"/>
    </font>
    <font>
      <sz val="11"/>
      <color theme="10"/>
      <name val="Calibri"/>
      <family val="2"/>
    </font>
    <font>
      <sz val="11"/>
      <color rgb="FF0563C1"/>
      <name val="Calibri"/>
      <family val="2"/>
    </font>
    <font>
      <b/>
      <sz val="11"/>
      <name val="Calibri"/>
      <family val="2"/>
    </font>
  </fonts>
  <fills count="7">
    <fill>
      <patternFill patternType="none"/>
    </fill>
    <fill>
      <patternFill patternType="gray125"/>
    </fill>
    <fill>
      <patternFill patternType="solid">
        <fgColor theme="0"/>
      </patternFill>
    </fill>
    <fill>
      <patternFill patternType="solid">
        <fgColor rgb="FF993300"/>
      </patternFill>
    </fill>
    <fill>
      <patternFill patternType="solid">
        <fgColor rgb="FFFFFF00"/>
      </patternFill>
    </fill>
    <fill>
      <patternFill patternType="solid">
        <fgColor rgb="FF7030A0"/>
      </patternFill>
    </fill>
    <fill>
      <patternFill patternType="solid">
        <fgColor rgb="FF7030A0"/>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s>
  <cellStyleXfs count="5">
    <xf numFmtId="0" fontId="0" fillId="0" borderId="0"/>
    <xf numFmtId="0" fontId="7" fillId="0" borderId="0" applyBorder="0" applyProtection="0"/>
    <xf numFmtId="0" fontId="1" fillId="0" borderId="0" applyBorder="0" applyProtection="0"/>
    <xf numFmtId="0" fontId="1" fillId="0" borderId="0" applyBorder="0" applyProtection="0"/>
    <xf numFmtId="165" fontId="8" fillId="0" borderId="0" applyBorder="0" applyProtection="0"/>
  </cellStyleXfs>
  <cellXfs count="135">
    <xf numFmtId="0" fontId="0" fillId="0" borderId="0" xfId="0"/>
    <xf numFmtId="0" fontId="2" fillId="0" borderId="0" xfId="0" applyFont="1"/>
    <xf numFmtId="0" fontId="2" fillId="0" borderId="0" xfId="0" applyFont="1" applyAlignment="1">
      <alignment horizontal="justify" vertical="center"/>
    </xf>
    <xf numFmtId="0" fontId="2" fillId="0" borderId="0" xfId="0" applyFont="1" applyAlignment="1">
      <alignment horizontal="center" vertical="center" wrapText="1"/>
    </xf>
    <xf numFmtId="0" fontId="2" fillId="0" borderId="0" xfId="0" applyFont="1" applyAlignment="1">
      <alignment horizontal="center"/>
    </xf>
    <xf numFmtId="0" fontId="2" fillId="2" borderId="0" xfId="0" applyFont="1" applyFill="1"/>
    <xf numFmtId="0" fontId="3" fillId="2" borderId="0" xfId="0" applyFont="1" applyFill="1"/>
    <xf numFmtId="0" fontId="3" fillId="0" borderId="0" xfId="0" applyFont="1"/>
    <xf numFmtId="164" fontId="3" fillId="0" borderId="0" xfId="0" applyNumberFormat="1" applyFont="1"/>
    <xf numFmtId="165" fontId="2" fillId="0" borderId="0" xfId="4" applyFont="1" applyBorder="1" applyAlignment="1">
      <alignment horizontal="center"/>
    </xf>
    <xf numFmtId="0" fontId="2" fillId="4" borderId="0" xfId="0" applyFont="1" applyFill="1"/>
    <xf numFmtId="0" fontId="6" fillId="2" borderId="0" xfId="0" applyFont="1" applyFill="1" applyAlignment="1">
      <alignment horizontal="center" vertical="center" wrapText="1"/>
    </xf>
    <xf numFmtId="0" fontId="2" fillId="0" borderId="0" xfId="0" applyFont="1" applyAlignment="1">
      <alignment horizontal="justify" vertical="center" wrapText="1"/>
    </xf>
    <xf numFmtId="0" fontId="5" fillId="0" borderId="0" xfId="0" applyFont="1" applyAlignment="1">
      <alignment horizontal="left"/>
    </xf>
    <xf numFmtId="0" fontId="3" fillId="0" borderId="0" xfId="0" applyFont="1" applyAlignment="1">
      <alignment horizontal="justify" vertical="center"/>
    </xf>
    <xf numFmtId="0" fontId="3" fillId="0" borderId="0" xfId="0" applyFont="1" applyAlignment="1">
      <alignment horizontal="left"/>
    </xf>
    <xf numFmtId="164" fontId="3" fillId="0" borderId="0" xfId="0" applyNumberFormat="1" applyFont="1" applyAlignment="1">
      <alignment horizontal="justify" vertical="center"/>
    </xf>
    <xf numFmtId="0" fontId="3" fillId="0" borderId="0" xfId="0" applyFont="1" applyAlignment="1">
      <alignment horizontal="justify"/>
    </xf>
    <xf numFmtId="0" fontId="2" fillId="2" borderId="0" xfId="0" applyFont="1" applyFill="1" applyAlignment="1">
      <alignment horizontal="justify" vertical="center"/>
    </xf>
    <xf numFmtId="0" fontId="3" fillId="0" borderId="0" xfId="0" applyFont="1" applyAlignment="1">
      <alignment horizontal="center" vertical="center" wrapText="1"/>
    </xf>
    <xf numFmtId="0" fontId="3" fillId="0" borderId="0" xfId="0" applyFont="1" applyAlignment="1">
      <alignment horizontal="justify" vertical="center" wrapText="1"/>
    </xf>
    <xf numFmtId="0" fontId="3" fillId="0" borderId="0" xfId="0" applyFont="1" applyAlignment="1">
      <alignment horizontal="center" wrapText="1"/>
    </xf>
    <xf numFmtId="0" fontId="10" fillId="2" borderId="0" xfId="0" applyFont="1" applyFill="1" applyAlignment="1">
      <alignment horizontal="left" vertical="center"/>
    </xf>
    <xf numFmtId="0" fontId="2" fillId="0" borderId="3" xfId="0" applyFont="1" applyBorder="1"/>
    <xf numFmtId="0" fontId="2" fillId="0" borderId="2" xfId="0" applyFont="1" applyBorder="1"/>
    <xf numFmtId="0" fontId="2" fillId="0" borderId="5" xfId="0" applyFont="1" applyBorder="1"/>
    <xf numFmtId="0" fontId="2" fillId="0" borderId="6" xfId="0" applyFont="1" applyBorder="1"/>
    <xf numFmtId="0" fontId="11" fillId="0" borderId="0" xfId="0" applyFont="1"/>
    <xf numFmtId="0" fontId="3" fillId="0" borderId="0" xfId="0" applyFont="1" applyAlignment="1">
      <alignment horizontal="center" vertical="center"/>
    </xf>
    <xf numFmtId="0" fontId="10" fillId="2" borderId="0" xfId="0" applyFont="1" applyFill="1" applyAlignment="1">
      <alignment horizontal="center" vertical="center"/>
    </xf>
    <xf numFmtId="164" fontId="3" fillId="0" borderId="0" xfId="0" applyNumberFormat="1" applyFont="1" applyAlignment="1">
      <alignment horizontal="center" vertical="center"/>
    </xf>
    <xf numFmtId="0" fontId="2" fillId="0" borderId="0" xfId="0" applyFont="1" applyAlignment="1">
      <alignment horizontal="center" vertical="center"/>
    </xf>
    <xf numFmtId="0" fontId="2" fillId="6" borderId="0" xfId="0" applyFont="1" applyFill="1"/>
    <xf numFmtId="0" fontId="2" fillId="5" borderId="0" xfId="0" applyFont="1" applyFill="1"/>
    <xf numFmtId="0" fontId="13" fillId="6" borderId="0" xfId="1" applyFont="1" applyFill="1" applyBorder="1" applyAlignment="1">
      <alignment horizontal="center" vertical="center" wrapText="1"/>
    </xf>
    <xf numFmtId="0" fontId="2" fillId="0" borderId="3" xfId="0" applyFont="1" applyBorder="1" applyAlignment="1">
      <alignment horizontal="center" vertical="center"/>
    </xf>
    <xf numFmtId="0" fontId="2" fillId="0" borderId="1" xfId="0" applyFont="1" applyBorder="1" applyAlignment="1">
      <alignment horizontal="center" vertical="center"/>
    </xf>
    <xf numFmtId="49" fontId="3" fillId="0" borderId="0" xfId="0" applyNumberFormat="1" applyFont="1"/>
    <xf numFmtId="49" fontId="10" fillId="2" borderId="0" xfId="0" applyNumberFormat="1" applyFont="1" applyFill="1" applyAlignment="1">
      <alignment horizontal="left" vertical="center"/>
    </xf>
    <xf numFmtId="49" fontId="2" fillId="0" borderId="0" xfId="0" applyNumberFormat="1" applyFont="1" applyAlignment="1">
      <alignment horizontal="center" vertical="center" wrapText="1"/>
    </xf>
    <xf numFmtId="49" fontId="3" fillId="0" borderId="0" xfId="0" applyNumberFormat="1" applyFont="1" applyAlignment="1">
      <alignment horizontal="left"/>
    </xf>
    <xf numFmtId="49" fontId="3" fillId="0" borderId="0" xfId="0" applyNumberFormat="1" applyFont="1" applyAlignment="1">
      <alignment horizontal="justify"/>
    </xf>
    <xf numFmtId="49" fontId="2" fillId="0" borderId="0" xfId="0" applyNumberFormat="1" applyFont="1"/>
    <xf numFmtId="0" fontId="14" fillId="0" borderId="0" xfId="0" applyFont="1" applyAlignment="1">
      <alignment horizontal="left" vertical="center" wrapText="1"/>
    </xf>
    <xf numFmtId="0" fontId="14" fillId="0" borderId="0" xfId="0" applyFont="1" applyAlignment="1">
      <alignment horizontal="left" vertical="center"/>
    </xf>
    <xf numFmtId="0" fontId="11" fillId="0" borderId="0" xfId="0" applyFont="1" applyAlignment="1">
      <alignment wrapText="1"/>
    </xf>
    <xf numFmtId="0" fontId="14" fillId="0" borderId="0" xfId="0" applyFont="1" applyAlignment="1">
      <alignment horizontal="center" vertical="center" wrapText="1"/>
    </xf>
    <xf numFmtId="22" fontId="3" fillId="0" borderId="0" xfId="0" applyNumberFormat="1" applyFont="1"/>
    <xf numFmtId="0" fontId="12" fillId="0" borderId="8" xfId="3" applyFont="1" applyBorder="1" applyAlignment="1">
      <alignment horizontal="center" vertical="center" wrapText="1"/>
    </xf>
    <xf numFmtId="0" fontId="12" fillId="0" borderId="3" xfId="3" applyFont="1" applyBorder="1" applyAlignment="1">
      <alignment horizontal="center" vertical="center" wrapText="1"/>
    </xf>
    <xf numFmtId="0" fontId="14" fillId="0" borderId="9" xfId="0" applyFont="1" applyBorder="1" applyAlignment="1">
      <alignment horizontal="justify" vertical="center" wrapText="1"/>
    </xf>
    <xf numFmtId="0" fontId="3" fillId="2" borderId="0" xfId="0" applyFont="1" applyFill="1" applyAlignment="1">
      <alignment wrapText="1"/>
    </xf>
    <xf numFmtId="0" fontId="10" fillId="2" borderId="0" xfId="0" applyFont="1" applyFill="1" applyAlignment="1">
      <alignment horizontal="left" vertical="center" wrapText="1"/>
    </xf>
    <xf numFmtId="0" fontId="5" fillId="0" borderId="0" xfId="0" applyFont="1" applyAlignment="1">
      <alignment horizontal="left" wrapText="1"/>
    </xf>
    <xf numFmtId="0" fontId="3" fillId="0" borderId="0" xfId="0" applyFont="1" applyAlignment="1">
      <alignment wrapText="1"/>
    </xf>
    <xf numFmtId="0" fontId="2" fillId="0" borderId="0" xfId="0" applyFont="1" applyAlignment="1">
      <alignment wrapText="1"/>
    </xf>
    <xf numFmtId="0" fontId="2" fillId="0" borderId="9" xfId="0" applyFont="1" applyBorder="1" applyAlignment="1">
      <alignment horizontal="justify" vertical="center" wrapText="1"/>
    </xf>
    <xf numFmtId="164" fontId="2" fillId="0" borderId="9" xfId="0" applyNumberFormat="1" applyFont="1" applyBorder="1" applyAlignment="1">
      <alignment horizontal="center" vertical="center" wrapText="1"/>
    </xf>
    <xf numFmtId="49" fontId="2" fillId="2" borderId="9" xfId="0" applyNumberFormat="1" applyFont="1" applyFill="1" applyBorder="1" applyAlignment="1">
      <alignment horizontal="center" vertical="center" wrapText="1"/>
    </xf>
    <xf numFmtId="0" fontId="2" fillId="0" borderId="9" xfId="0" applyFont="1" applyBorder="1" applyAlignment="1">
      <alignment horizontal="center" vertical="center" wrapText="1"/>
    </xf>
    <xf numFmtId="49" fontId="2" fillId="0" borderId="9" xfId="0" applyNumberFormat="1" applyFont="1" applyBorder="1" applyAlignment="1">
      <alignment horizontal="center" vertical="center" wrapText="1"/>
    </xf>
    <xf numFmtId="0" fontId="14" fillId="0" borderId="9" xfId="0" applyFont="1" applyBorder="1" applyAlignment="1">
      <alignment horizontal="center" vertical="center" wrapText="1"/>
    </xf>
    <xf numFmtId="172" fontId="14" fillId="0" borderId="9" xfId="0" applyNumberFormat="1" applyFont="1" applyBorder="1" applyAlignment="1">
      <alignment horizontal="center" vertical="center" wrapText="1"/>
    </xf>
    <xf numFmtId="0" fontId="6" fillId="3" borderId="9" xfId="0" applyFont="1" applyFill="1" applyBorder="1" applyAlignment="1">
      <alignment horizontal="center" vertical="center" wrapText="1"/>
    </xf>
    <xf numFmtId="0" fontId="7" fillId="0" borderId="9" xfId="1" applyBorder="1" applyAlignment="1">
      <alignment horizontal="center" vertical="center" wrapText="1"/>
    </xf>
    <xf numFmtId="0" fontId="2" fillId="0" borderId="9" xfId="0" applyFont="1" applyBorder="1" applyAlignment="1">
      <alignment horizontal="left" vertical="center" wrapText="1"/>
    </xf>
    <xf numFmtId="14" fontId="2" fillId="0" borderId="9" xfId="0" applyNumberFormat="1" applyFont="1" applyBorder="1" applyAlignment="1">
      <alignment horizontal="center" vertical="center" wrapText="1"/>
    </xf>
    <xf numFmtId="8" fontId="2" fillId="0" borderId="9" xfId="0" applyNumberFormat="1" applyFont="1" applyBorder="1" applyAlignment="1">
      <alignment horizontal="center" vertical="center" wrapText="1"/>
    </xf>
    <xf numFmtId="0" fontId="3" fillId="0" borderId="9" xfId="0" applyFont="1" applyBorder="1" applyAlignment="1">
      <alignment horizontal="center" vertical="center" wrapText="1"/>
    </xf>
    <xf numFmtId="171" fontId="2" fillId="0" borderId="9"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14" fontId="2" fillId="0" borderId="9" xfId="0" applyNumberFormat="1" applyFont="1" applyBorder="1" applyAlignment="1">
      <alignment horizontal="center" vertical="center"/>
    </xf>
    <xf numFmtId="0" fontId="2" fillId="0" borderId="9" xfId="0" applyFont="1" applyBorder="1" applyAlignment="1">
      <alignment horizontal="center" vertical="center"/>
    </xf>
    <xf numFmtId="0" fontId="7" fillId="0" borderId="9" xfId="1" applyBorder="1" applyAlignment="1">
      <alignment horizontal="center" vertical="center"/>
    </xf>
    <xf numFmtId="0" fontId="2" fillId="0" borderId="9" xfId="0" applyFont="1" applyBorder="1"/>
    <xf numFmtId="0" fontId="2" fillId="2" borderId="0" xfId="0" applyFont="1" applyFill="1" applyAlignment="1">
      <alignment wrapText="1"/>
    </xf>
    <xf numFmtId="0" fontId="13" fillId="0" borderId="9" xfId="1" applyFont="1" applyBorder="1" applyAlignment="1">
      <alignment horizontal="center" vertical="center" wrapText="1"/>
    </xf>
    <xf numFmtId="0" fontId="12" fillId="0" borderId="9" xfId="3"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49" fontId="2" fillId="0" borderId="3" xfId="0" applyNumberFormat="1" applyFont="1" applyBorder="1" applyAlignment="1">
      <alignment horizontal="center" vertical="center" wrapText="1"/>
    </xf>
    <xf numFmtId="0" fontId="7" fillId="0" borderId="9" xfId="1" applyBorder="1" applyAlignment="1">
      <alignment horizontal="center"/>
    </xf>
    <xf numFmtId="166" fontId="2" fillId="0" borderId="9" xfId="0" applyNumberFormat="1" applyFont="1" applyBorder="1" applyAlignment="1">
      <alignment horizontal="center" vertical="center" wrapText="1"/>
    </xf>
    <xf numFmtId="0" fontId="13" fillId="0" borderId="9" xfId="1" applyFont="1" applyBorder="1" applyAlignment="1">
      <alignment horizontal="center" vertical="center"/>
    </xf>
    <xf numFmtId="0" fontId="2" fillId="0" borderId="9" xfId="0" applyFont="1" applyBorder="1" applyAlignment="1">
      <alignment horizontal="center" wrapText="1"/>
    </xf>
    <xf numFmtId="167" fontId="2" fillId="0" borderId="9" xfId="0" applyNumberFormat="1" applyFont="1" applyBorder="1" applyAlignment="1">
      <alignment horizontal="center" vertical="center" wrapText="1"/>
    </xf>
    <xf numFmtId="0" fontId="2" fillId="2" borderId="0" xfId="0" applyFont="1" applyFill="1" applyAlignment="1">
      <alignment horizontal="center" vertical="center" wrapText="1"/>
    </xf>
    <xf numFmtId="168" fontId="2" fillId="0" borderId="9" xfId="0" applyNumberFormat="1" applyFont="1" applyBorder="1" applyAlignment="1">
      <alignment horizontal="center" vertical="center" wrapText="1"/>
    </xf>
    <xf numFmtId="168" fontId="2" fillId="0" borderId="2" xfId="0" applyNumberFormat="1" applyFont="1" applyBorder="1" applyAlignment="1">
      <alignment horizontal="center" vertical="center" wrapText="1"/>
    </xf>
    <xf numFmtId="164" fontId="2" fillId="0" borderId="3" xfId="0" applyNumberFormat="1" applyFont="1" applyBorder="1" applyAlignment="1">
      <alignment horizontal="center" vertical="center" wrapText="1"/>
    </xf>
    <xf numFmtId="168" fontId="2" fillId="0" borderId="3" xfId="0" applyNumberFormat="1" applyFont="1" applyBorder="1" applyAlignment="1">
      <alignment horizontal="center" vertical="center" wrapText="1"/>
    </xf>
    <xf numFmtId="0" fontId="2" fillId="0" borderId="9" xfId="1" applyFont="1" applyBorder="1" applyAlignment="1">
      <alignment horizontal="center" vertical="center" wrapText="1"/>
    </xf>
    <xf numFmtId="0" fontId="2" fillId="0" borderId="9" xfId="1" applyFont="1" applyBorder="1" applyAlignment="1">
      <alignment horizontal="justify" vertical="center" wrapText="1"/>
    </xf>
    <xf numFmtId="0" fontId="2" fillId="0" borderId="8" xfId="0" applyFont="1" applyBorder="1" applyAlignment="1">
      <alignment horizontal="center" vertical="center" wrapText="1"/>
    </xf>
    <xf numFmtId="49" fontId="2" fillId="0" borderId="8" xfId="0" applyNumberFormat="1" applyFont="1" applyBorder="1" applyAlignment="1">
      <alignment horizontal="center" vertical="center" wrapText="1"/>
    </xf>
    <xf numFmtId="164" fontId="2" fillId="0" borderId="8" xfId="0" applyNumberFormat="1" applyFont="1" applyBorder="1" applyAlignment="1">
      <alignment horizontal="center" vertical="center" wrapText="1"/>
    </xf>
    <xf numFmtId="168" fontId="2" fillId="0" borderId="8" xfId="0" applyNumberFormat="1" applyFont="1" applyBorder="1" applyAlignment="1">
      <alignment horizontal="center" vertical="center" wrapText="1"/>
    </xf>
    <xf numFmtId="0" fontId="3" fillId="0" borderId="9" xfId="0" applyFont="1" applyBorder="1" applyAlignment="1">
      <alignment horizontal="center" wrapText="1"/>
    </xf>
    <xf numFmtId="0" fontId="2" fillId="0" borderId="9" xfId="0" applyFont="1" applyBorder="1" applyAlignment="1">
      <alignment horizontal="center"/>
    </xf>
    <xf numFmtId="169" fontId="2" fillId="0" borderId="9" xfId="0" applyNumberFormat="1" applyFont="1" applyBorder="1" applyAlignment="1">
      <alignment horizontal="center" vertical="center" wrapText="1"/>
    </xf>
    <xf numFmtId="168" fontId="2" fillId="2" borderId="9" xfId="0" applyNumberFormat="1" applyFont="1" applyFill="1" applyBorder="1" applyAlignment="1">
      <alignment horizontal="center" vertical="center" wrapText="1"/>
    </xf>
    <xf numFmtId="0" fontId="12" fillId="0" borderId="9" xfId="2" applyFont="1" applyBorder="1" applyAlignment="1">
      <alignment horizontal="center" vertical="center"/>
    </xf>
    <xf numFmtId="0" fontId="2" fillId="2" borderId="9" xfId="0" applyFont="1" applyFill="1" applyBorder="1" applyAlignment="1">
      <alignment horizontal="justify" vertical="center" wrapText="1"/>
    </xf>
    <xf numFmtId="164" fontId="2" fillId="2" borderId="9" xfId="0" applyNumberFormat="1" applyFont="1" applyFill="1" applyBorder="1" applyAlignment="1">
      <alignment horizontal="center" vertical="center" wrapText="1"/>
    </xf>
    <xf numFmtId="170" fontId="2" fillId="2" borderId="9" xfId="0" applyNumberFormat="1" applyFont="1" applyFill="1" applyBorder="1" applyAlignment="1">
      <alignment horizontal="center" vertical="center" wrapText="1"/>
    </xf>
    <xf numFmtId="0" fontId="2" fillId="2" borderId="9" xfId="0" applyFont="1" applyFill="1" applyBorder="1" applyAlignment="1">
      <alignment horizontal="center" vertical="center" wrapText="1"/>
    </xf>
    <xf numFmtId="170" fontId="2" fillId="0" borderId="9" xfId="0" applyNumberFormat="1" applyFont="1" applyBorder="1" applyAlignment="1">
      <alignment horizontal="center" vertical="center" wrapText="1"/>
    </xf>
    <xf numFmtId="164" fontId="2" fillId="0" borderId="9" xfId="0" applyNumberFormat="1" applyFont="1" applyBorder="1" applyAlignment="1">
      <alignment horizontal="center" vertical="center"/>
    </xf>
    <xf numFmtId="168" fontId="2" fillId="0" borderId="9" xfId="0" applyNumberFormat="1" applyFont="1" applyBorder="1" applyAlignment="1">
      <alignment horizontal="center" vertical="center" wrapText="1"/>
    </xf>
    <xf numFmtId="164" fontId="2" fillId="0" borderId="9" xfId="0" applyNumberFormat="1" applyFont="1" applyBorder="1" applyAlignment="1">
      <alignment horizontal="center" vertical="center" wrapText="1"/>
    </xf>
    <xf numFmtId="0" fontId="2" fillId="0" borderId="9" xfId="0" applyFont="1" applyBorder="1" applyAlignment="1">
      <alignment horizontal="center" vertical="center" wrapText="1"/>
    </xf>
    <xf numFmtId="0" fontId="12" fillId="0" borderId="9" xfId="3" applyFont="1" applyBorder="1" applyAlignment="1">
      <alignment horizontal="center" vertical="center" wrapText="1"/>
    </xf>
    <xf numFmtId="0" fontId="2" fillId="0" borderId="9" xfId="1" applyFont="1" applyBorder="1" applyAlignment="1">
      <alignment horizontal="center" vertical="center" wrapText="1"/>
    </xf>
    <xf numFmtId="0" fontId="2" fillId="0" borderId="9" xfId="1" applyFont="1" applyBorder="1" applyAlignment="1">
      <alignment horizontal="justify" vertical="center" wrapText="1"/>
    </xf>
    <xf numFmtId="49" fontId="2" fillId="0" borderId="9" xfId="0" applyNumberFormat="1" applyFont="1" applyBorder="1" applyAlignment="1">
      <alignment horizontal="center" vertical="center" wrapText="1"/>
    </xf>
    <xf numFmtId="0" fontId="14" fillId="0" borderId="9" xfId="0" applyFont="1" applyBorder="1" applyAlignment="1">
      <alignment horizontal="justify" vertical="center" wrapText="1"/>
    </xf>
    <xf numFmtId="0" fontId="2" fillId="0" borderId="9" xfId="0" applyFont="1" applyBorder="1" applyAlignment="1">
      <alignment horizontal="justify" vertical="center" wrapText="1"/>
    </xf>
    <xf numFmtId="49" fontId="2" fillId="2" borderId="9" xfId="0" applyNumberFormat="1" applyFont="1" applyFill="1" applyBorder="1" applyAlignment="1">
      <alignment horizontal="center" vertical="center" wrapText="1"/>
    </xf>
    <xf numFmtId="0" fontId="14" fillId="0" borderId="4" xfId="0" applyFont="1" applyBorder="1" applyAlignment="1">
      <alignment horizontal="left" vertical="center" wrapText="1"/>
    </xf>
    <xf numFmtId="0" fontId="14" fillId="0" borderId="10" xfId="0" applyFont="1" applyBorder="1" applyAlignment="1">
      <alignment horizontal="left" vertical="center" wrapText="1"/>
    </xf>
    <xf numFmtId="0" fontId="14" fillId="0" borderId="7" xfId="0" applyFont="1" applyBorder="1" applyAlignment="1">
      <alignment horizontal="left" vertical="center" wrapText="1"/>
    </xf>
    <xf numFmtId="166" fontId="2" fillId="0" borderId="9" xfId="0" applyNumberFormat="1" applyFont="1" applyBorder="1" applyAlignment="1">
      <alignment horizontal="center" vertical="center" wrapText="1"/>
    </xf>
    <xf numFmtId="8" fontId="2" fillId="0" borderId="9" xfId="0" applyNumberFormat="1" applyFont="1" applyBorder="1" applyAlignment="1">
      <alignment horizontal="center" vertical="center" wrapText="1"/>
    </xf>
    <xf numFmtId="14" fontId="2" fillId="0" borderId="9" xfId="0" applyNumberFormat="1" applyFont="1" applyBorder="1" applyAlignment="1">
      <alignment horizontal="center" vertical="center" wrapText="1"/>
    </xf>
    <xf numFmtId="0" fontId="13" fillId="0" borderId="9" xfId="1" applyFont="1" applyBorder="1" applyAlignment="1">
      <alignment horizontal="center" vertical="center" wrapText="1"/>
    </xf>
    <xf numFmtId="171" fontId="6" fillId="3" borderId="9" xfId="0" applyNumberFormat="1" applyFont="1" applyFill="1" applyBorder="1" applyAlignment="1">
      <alignment horizontal="center" vertical="center" wrapText="1"/>
    </xf>
    <xf numFmtId="0" fontId="6" fillId="3" borderId="9" xfId="0" applyFont="1" applyFill="1" applyBorder="1" applyAlignment="1">
      <alignment horizontal="center" vertical="center" wrapText="1"/>
    </xf>
    <xf numFmtId="0" fontId="4" fillId="0" borderId="0" xfId="0" applyFont="1" applyAlignment="1">
      <alignment horizontal="right" vertical="center"/>
    </xf>
    <xf numFmtId="0" fontId="5" fillId="2" borderId="0" xfId="0" applyFont="1" applyFill="1" applyAlignment="1">
      <alignment horizontal="left" vertical="center"/>
    </xf>
    <xf numFmtId="49" fontId="5" fillId="2" borderId="0" xfId="0" applyNumberFormat="1" applyFont="1" applyFill="1" applyAlignment="1">
      <alignment horizontal="right"/>
    </xf>
    <xf numFmtId="0" fontId="9" fillId="3" borderId="4" xfId="0" applyFont="1" applyFill="1" applyBorder="1" applyAlignment="1">
      <alignment horizontal="center" vertical="center"/>
    </xf>
    <xf numFmtId="0" fontId="9" fillId="3" borderId="7" xfId="0" applyFont="1" applyFill="1" applyBorder="1" applyAlignment="1">
      <alignment horizontal="center" vertical="center"/>
    </xf>
    <xf numFmtId="164" fontId="6" fillId="3" borderId="9" xfId="0" applyNumberFormat="1" applyFont="1" applyFill="1" applyBorder="1" applyAlignment="1">
      <alignment horizontal="center" vertical="center" wrapText="1"/>
    </xf>
    <xf numFmtId="49" fontId="6" fillId="3" borderId="9" xfId="0" applyNumberFormat="1" applyFont="1" applyFill="1" applyBorder="1" applyAlignment="1">
      <alignment horizontal="center" vertical="center" wrapText="1"/>
    </xf>
    <xf numFmtId="0" fontId="3" fillId="0" borderId="9" xfId="0" applyFont="1" applyBorder="1" applyAlignment="1">
      <alignment horizontal="left" vertical="center" wrapText="1"/>
    </xf>
  </cellXfs>
  <cellStyles count="5">
    <cellStyle name="Excel Built-in Explanatory Text" xfId="4" xr:uid="{00000000-0005-0000-0000-000000000000}"/>
    <cellStyle name="Hiperlink" xfId="1" xr:uid="{00000000-0005-0000-0000-000001000000}"/>
    <cellStyle name="Hyperlink 1" xfId="2" xr:uid="{00000000-0005-0000-0000-000002000000}"/>
    <cellStyle name="Hyperlink 2" xfId="3" xr:uid="{00000000-0005-0000-0000-000003000000}"/>
    <cellStyle name="Normal" xfId="0" builtinId="0"/>
  </cellStyles>
  <dxfs count="1">
    <dxf>
      <font>
        <color auto="1"/>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0</xdr:col>
      <xdr:colOff>79200</xdr:colOff>
      <xdr:row>0</xdr:row>
      <xdr:rowOff>79200</xdr:rowOff>
    </xdr:from>
    <xdr:to>
      <xdr:col>2</xdr:col>
      <xdr:colOff>3348210</xdr:colOff>
      <xdr:row>5</xdr:row>
      <xdr:rowOff>70920</xdr:rowOff>
    </xdr:to>
    <xdr:pic>
      <xdr:nvPicPr>
        <xdr:cNvPr id="2" name="/xl/media/image.wmf">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theme/theme1.xml><?xml version="1.0" encoding="utf-8"?>
<a:theme xmlns:a="http://schemas.openxmlformats.org/drawingml/2006/main" name="Escritório">
  <a:themeElements>
    <a:clrScheme name="Escritório">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Escritório">
      <a:fillStyleLst>
        <a:solidFill>
          <a:schemeClr val="phClr"/>
        </a:solidFill>
        <a:solidFill>
          <a:schemeClr val="dk1"/>
        </a:solidFill>
        <a:solidFill>
          <a:schemeClr val="accent1"/>
        </a:solidFill>
      </a:fillStyleLst>
      <a:lnStyleLst>
        <a:ln w="6350">
          <a:prstDash val="solid"/>
        </a:ln>
        <a:ln w="12700">
          <a:prstDash val="solid"/>
        </a:ln>
        <a:ln w="19050">
          <a:prstDash val="solid"/>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B259"/>
  <sheetViews>
    <sheetView showGridLines="0" tabSelected="1" topLeftCell="A222" workbookViewId="0">
      <selection activeCell="C13" sqref="C13"/>
    </sheetView>
  </sheetViews>
  <sheetFormatPr defaultColWidth="10.85546875" defaultRowHeight="15" x14ac:dyDescent="0.25"/>
  <cols>
    <col min="1" max="1" width="47" style="55" customWidth="1"/>
    <col min="2" max="2" width="27.5703125" style="1" customWidth="1"/>
    <col min="3" max="3" width="154.28515625" style="2" customWidth="1"/>
    <col min="4" max="4" width="24.140625" style="1" customWidth="1"/>
    <col min="5" max="5" width="20.42578125" style="42" customWidth="1"/>
    <col min="6" max="6" width="20.42578125" style="1" customWidth="1"/>
    <col min="7" max="7" width="17.42578125" style="31" customWidth="1"/>
    <col min="8" max="8" width="29.140625" style="1" customWidth="1"/>
    <col min="9" max="9" width="30.42578125" style="1" customWidth="1"/>
    <col min="10" max="10" width="31.42578125" style="1" customWidth="1"/>
    <col min="11" max="11" width="41.7109375" style="2" customWidth="1"/>
    <col min="12" max="12" width="46.28515625" style="3" customWidth="1"/>
    <col min="13" max="13" width="40" style="3" customWidth="1"/>
    <col min="14" max="14" width="35.5703125" style="3" customWidth="1"/>
    <col min="15" max="16" width="27.28515625" style="1" customWidth="1"/>
    <col min="17" max="18" width="21.5703125" style="4" customWidth="1"/>
    <col min="19" max="19" width="21.5703125" style="1" customWidth="1"/>
    <col min="20" max="20" width="19.140625" style="36" customWidth="1"/>
    <col min="21" max="262" width="10.85546875" style="5"/>
    <col min="263" max="16384" width="10.85546875" style="1"/>
  </cols>
  <sheetData>
    <row r="1" spans="1:262" x14ac:dyDescent="0.25">
      <c r="A1" s="51"/>
      <c r="B1" s="6"/>
      <c r="C1" s="18"/>
      <c r="D1" s="7"/>
      <c r="E1" s="37"/>
      <c r="F1" s="7"/>
      <c r="G1" s="28"/>
      <c r="H1" s="8"/>
      <c r="I1" s="8"/>
      <c r="J1" s="19"/>
      <c r="K1" s="20"/>
      <c r="L1" s="19"/>
      <c r="M1" s="19"/>
      <c r="N1" s="19"/>
      <c r="O1" s="21"/>
      <c r="P1" s="21"/>
      <c r="Q1" s="9"/>
      <c r="R1" s="9"/>
      <c r="S1" s="9"/>
      <c r="T1" s="28"/>
      <c r="U1" s="6"/>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c r="IW1" s="7"/>
      <c r="IX1" s="7"/>
      <c r="IY1" s="7"/>
      <c r="IZ1" s="7"/>
      <c r="JA1" s="7"/>
      <c r="JB1" s="7"/>
    </row>
    <row r="2" spans="1:262" x14ac:dyDescent="0.25">
      <c r="A2" s="51"/>
      <c r="B2" s="6"/>
      <c r="C2" s="18"/>
      <c r="D2" s="7"/>
      <c r="E2" s="37"/>
      <c r="F2" s="7"/>
      <c r="G2" s="28"/>
      <c r="H2" s="8"/>
      <c r="I2" s="8"/>
      <c r="J2" s="19"/>
      <c r="K2" s="20"/>
      <c r="L2" s="19"/>
      <c r="M2" s="19"/>
      <c r="N2" s="19"/>
      <c r="O2" s="21"/>
      <c r="P2" s="21"/>
      <c r="Q2" s="9"/>
      <c r="R2" s="9"/>
      <c r="S2" s="9"/>
      <c r="T2" s="28"/>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c r="IY2" s="6"/>
      <c r="IZ2" s="6"/>
      <c r="JA2" s="6"/>
      <c r="JB2" s="6"/>
    </row>
    <row r="3" spans="1:262" x14ac:dyDescent="0.25">
      <c r="A3" s="51"/>
      <c r="B3" s="6"/>
      <c r="C3" s="18"/>
      <c r="D3" s="7"/>
      <c r="E3" s="37"/>
      <c r="F3" s="7"/>
      <c r="G3" s="28"/>
      <c r="H3" s="8"/>
      <c r="I3" s="8"/>
      <c r="J3" s="19"/>
      <c r="K3" s="20"/>
      <c r="L3" s="19"/>
      <c r="M3" s="19"/>
      <c r="N3" s="19"/>
      <c r="O3" s="21"/>
      <c r="P3" s="21"/>
      <c r="Q3" s="9"/>
      <c r="R3" s="9"/>
      <c r="S3" s="9"/>
      <c r="T3" s="28"/>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row>
    <row r="4" spans="1:262" x14ac:dyDescent="0.25">
      <c r="A4" s="51"/>
      <c r="B4" s="6"/>
      <c r="C4" s="18"/>
      <c r="D4" s="7"/>
      <c r="E4" s="37"/>
      <c r="F4" s="7"/>
      <c r="G4" s="28"/>
      <c r="H4" s="8"/>
      <c r="I4" s="8"/>
      <c r="J4" s="19"/>
      <c r="K4" s="20"/>
      <c r="L4" s="19"/>
      <c r="M4" s="19"/>
      <c r="N4" s="19"/>
      <c r="O4" s="21"/>
      <c r="P4" s="21"/>
      <c r="Q4" s="9"/>
      <c r="R4" s="9"/>
      <c r="S4" s="9"/>
      <c r="T4" s="28"/>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row>
    <row r="5" spans="1:262" x14ac:dyDescent="0.25">
      <c r="A5" s="127"/>
      <c r="B5" s="127"/>
      <c r="C5" s="127"/>
      <c r="D5" s="127"/>
      <c r="E5" s="127"/>
      <c r="F5" s="127"/>
      <c r="G5" s="127"/>
      <c r="H5" s="127"/>
      <c r="I5" s="127"/>
      <c r="J5" s="127"/>
      <c r="K5" s="127"/>
      <c r="L5" s="127"/>
      <c r="M5" s="127"/>
      <c r="N5" s="127"/>
      <c r="O5" s="127"/>
      <c r="P5" s="127"/>
      <c r="Q5" s="127"/>
      <c r="R5" s="127"/>
      <c r="S5" s="127"/>
      <c r="T5" s="127"/>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row>
    <row r="6" spans="1:262" x14ac:dyDescent="0.25">
      <c r="A6" s="128"/>
      <c r="B6" s="128"/>
      <c r="C6" s="128"/>
      <c r="D6" s="128"/>
      <c r="E6" s="128"/>
      <c r="F6" s="128"/>
      <c r="G6" s="128"/>
      <c r="H6" s="128"/>
      <c r="I6" s="128"/>
      <c r="J6" s="128"/>
      <c r="K6" s="128"/>
      <c r="L6" s="128"/>
      <c r="M6" s="128"/>
      <c r="N6" s="128"/>
      <c r="O6" s="128"/>
      <c r="P6" s="128"/>
      <c r="Q6" s="128"/>
      <c r="R6" s="128"/>
      <c r="S6" s="128"/>
      <c r="T6" s="128"/>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row>
    <row r="7" spans="1:262" x14ac:dyDescent="0.25">
      <c r="A7" s="129" t="s">
        <v>0</v>
      </c>
      <c r="B7" s="129"/>
      <c r="C7" s="129"/>
      <c r="D7" s="129"/>
      <c r="E7" s="129"/>
      <c r="F7" s="129"/>
      <c r="G7" s="129"/>
      <c r="H7" s="129"/>
      <c r="I7" s="129"/>
      <c r="J7" s="129"/>
      <c r="K7" s="129"/>
      <c r="L7" s="129"/>
      <c r="M7" s="129"/>
      <c r="N7" s="129"/>
      <c r="O7" s="129"/>
      <c r="P7" s="129"/>
      <c r="Q7" s="129"/>
      <c r="R7" s="129"/>
      <c r="S7" s="129"/>
      <c r="T7" s="129"/>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row>
    <row r="8" spans="1:262" ht="17.25" customHeight="1" x14ac:dyDescent="0.25">
      <c r="A8" s="130" t="s">
        <v>1</v>
      </c>
      <c r="B8" s="131"/>
      <c r="C8" s="22"/>
      <c r="D8" s="22"/>
      <c r="E8" s="38"/>
      <c r="F8" s="22"/>
      <c r="G8" s="29"/>
      <c r="H8" s="22"/>
      <c r="I8" s="22"/>
      <c r="J8" s="22"/>
      <c r="K8" s="22"/>
      <c r="L8" s="22"/>
      <c r="M8" s="22"/>
      <c r="N8" s="22"/>
      <c r="O8" s="22"/>
      <c r="P8" s="22"/>
      <c r="Q8" s="22"/>
      <c r="R8" s="22"/>
      <c r="S8" s="22"/>
      <c r="T8" s="29"/>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row>
    <row r="9" spans="1:262" x14ac:dyDescent="0.25">
      <c r="A9" s="52"/>
      <c r="B9" s="22"/>
      <c r="C9" s="22"/>
      <c r="D9" s="22"/>
      <c r="E9" s="38"/>
      <c r="F9" s="22"/>
      <c r="G9" s="29"/>
      <c r="H9" s="22"/>
      <c r="I9" s="22"/>
      <c r="J9" s="22"/>
      <c r="K9" s="22"/>
      <c r="L9" s="22"/>
      <c r="M9" s="22"/>
      <c r="N9" s="22"/>
      <c r="O9" s="22"/>
      <c r="P9" s="22"/>
      <c r="Q9" s="22"/>
      <c r="R9" s="22"/>
      <c r="S9" s="22"/>
      <c r="T9" s="29"/>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row>
    <row r="10" spans="1:262" ht="12.75" customHeight="1" x14ac:dyDescent="0.25">
      <c r="A10" s="126" t="s">
        <v>2</v>
      </c>
      <c r="B10" s="126" t="s">
        <v>3</v>
      </c>
      <c r="C10" s="126" t="s">
        <v>4</v>
      </c>
      <c r="D10" s="132" t="s">
        <v>5</v>
      </c>
      <c r="E10" s="133" t="s">
        <v>6</v>
      </c>
      <c r="F10" s="126" t="s">
        <v>7</v>
      </c>
      <c r="G10" s="126"/>
      <c r="H10" s="126" t="s">
        <v>8</v>
      </c>
      <c r="I10" s="126" t="s">
        <v>9</v>
      </c>
      <c r="J10" s="126" t="s">
        <v>10</v>
      </c>
      <c r="K10" s="126" t="s">
        <v>11</v>
      </c>
      <c r="L10" s="126" t="s">
        <v>12</v>
      </c>
      <c r="M10" s="126" t="s">
        <v>13</v>
      </c>
      <c r="N10" s="126" t="s">
        <v>14</v>
      </c>
      <c r="O10" s="126" t="s">
        <v>15</v>
      </c>
      <c r="P10" s="126" t="s">
        <v>1256</v>
      </c>
      <c r="Q10" s="125" t="s">
        <v>16</v>
      </c>
      <c r="R10" s="125" t="s">
        <v>1257</v>
      </c>
      <c r="S10" s="126" t="s">
        <v>17</v>
      </c>
      <c r="T10" s="126" t="s">
        <v>18</v>
      </c>
    </row>
    <row r="11" spans="1:262" x14ac:dyDescent="0.25">
      <c r="A11" s="126"/>
      <c r="B11" s="126"/>
      <c r="C11" s="126"/>
      <c r="D11" s="132"/>
      <c r="E11" s="133"/>
      <c r="F11" s="63" t="s">
        <v>19</v>
      </c>
      <c r="G11" s="63" t="s">
        <v>20</v>
      </c>
      <c r="H11" s="126"/>
      <c r="I11" s="126"/>
      <c r="J11" s="126"/>
      <c r="K11" s="126"/>
      <c r="L11" s="126"/>
      <c r="M11" s="126"/>
      <c r="N11" s="126"/>
      <c r="O11" s="126"/>
      <c r="P11" s="126"/>
      <c r="Q11" s="125"/>
      <c r="R11" s="125"/>
      <c r="S11" s="126"/>
      <c r="T11" s="126"/>
    </row>
    <row r="12" spans="1:262" s="27" customFormat="1" ht="60" customHeight="1" x14ac:dyDescent="0.25">
      <c r="A12" s="64" t="str">
        <f>HYPERLINK("https://www.mpam.mp.br/images-j5/DCCON/2026/CONVENIOS%20E%20ACORDOS/ACT%20No%20005-2026.pdf","TCT 5/2026 PGJ")</f>
        <v>TCT 5/2026 PGJ</v>
      </c>
      <c r="B12" s="59" t="s">
        <v>21</v>
      </c>
      <c r="C12" s="65" t="s">
        <v>22</v>
      </c>
      <c r="D12" s="59" t="s">
        <v>23</v>
      </c>
      <c r="E12" s="59" t="s">
        <v>24</v>
      </c>
      <c r="F12" s="66">
        <v>46174</v>
      </c>
      <c r="G12" s="66">
        <v>46905</v>
      </c>
      <c r="H12" s="59" t="s">
        <v>25</v>
      </c>
      <c r="I12" s="59" t="s">
        <v>26</v>
      </c>
      <c r="J12" s="59" t="s">
        <v>27</v>
      </c>
      <c r="K12" s="59" t="s">
        <v>28</v>
      </c>
      <c r="L12" s="61"/>
      <c r="M12" s="59" t="s">
        <v>29</v>
      </c>
      <c r="N12" s="59" t="s">
        <v>29</v>
      </c>
      <c r="O12" s="67">
        <v>0</v>
      </c>
      <c r="P12" s="59" t="s">
        <v>29</v>
      </c>
      <c r="Q12" s="67">
        <v>0</v>
      </c>
      <c r="R12" s="67"/>
      <c r="S12" s="59" t="s">
        <v>30</v>
      </c>
      <c r="T12" s="59" t="s">
        <v>31</v>
      </c>
      <c r="U12"/>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row>
    <row r="13" spans="1:262" ht="60" customHeight="1" x14ac:dyDescent="0.25">
      <c r="A13" s="64" t="str">
        <f>HYPERLINK("https://www.mpam.mp.br/images-j5/DCCON/2026/CONVENIOS%20E%20ACORDOS/Termo%20de%20Adesao%20ao%20ACT%20012-2205.pdf","Termo de Adesão ao ACT 012/2025 - CNMP")</f>
        <v>Termo de Adesão ao ACT 012/2025 - CNMP</v>
      </c>
      <c r="B13" s="59" t="s">
        <v>32</v>
      </c>
      <c r="C13" s="134" t="s">
        <v>33</v>
      </c>
      <c r="D13" s="59" t="s">
        <v>34</v>
      </c>
      <c r="E13" s="60" t="s">
        <v>35</v>
      </c>
      <c r="F13" s="66">
        <v>46171</v>
      </c>
      <c r="G13" s="66">
        <v>47611</v>
      </c>
      <c r="H13" s="59" t="s">
        <v>25</v>
      </c>
      <c r="I13" s="68" t="s">
        <v>36</v>
      </c>
      <c r="J13" s="59" t="s">
        <v>37</v>
      </c>
      <c r="K13" s="59" t="s">
        <v>38</v>
      </c>
      <c r="L13" s="59" t="s">
        <v>39</v>
      </c>
      <c r="M13" s="59" t="s">
        <v>29</v>
      </c>
      <c r="N13" s="59" t="s">
        <v>29</v>
      </c>
      <c r="O13" s="67">
        <v>0</v>
      </c>
      <c r="P13" s="59" t="s">
        <v>29</v>
      </c>
      <c r="Q13" s="67">
        <v>0</v>
      </c>
      <c r="R13" s="67"/>
      <c r="S13" s="59" t="s">
        <v>30</v>
      </c>
      <c r="T13" s="59" t="s">
        <v>31</v>
      </c>
    </row>
    <row r="14" spans="1:262" ht="60" customHeight="1" x14ac:dyDescent="0.25">
      <c r="A14" s="64" t="str">
        <f>HYPERLINK("https://www.mpam.mp.br/images-j5/DCCON/2026/CONVENIOS%20E%20ACORDOS/ACT%20001-2026%20-%20SEAP.pdf","TCT 1/2026 PGJ")</f>
        <v>TCT 1/2026 PGJ</v>
      </c>
      <c r="B14" s="59" t="s">
        <v>21</v>
      </c>
      <c r="C14" s="134" t="s">
        <v>40</v>
      </c>
      <c r="D14" s="59" t="s">
        <v>41</v>
      </c>
      <c r="E14" s="60" t="s">
        <v>42</v>
      </c>
      <c r="F14" s="66">
        <v>46146</v>
      </c>
      <c r="G14" s="66">
        <v>47972</v>
      </c>
      <c r="H14" s="59" t="s">
        <v>25</v>
      </c>
      <c r="I14" s="59" t="s">
        <v>43</v>
      </c>
      <c r="J14" s="59" t="s">
        <v>44</v>
      </c>
      <c r="K14" s="59" t="s">
        <v>45</v>
      </c>
      <c r="L14" s="61"/>
      <c r="M14" s="59" t="s">
        <v>29</v>
      </c>
      <c r="N14" s="59" t="s">
        <v>29</v>
      </c>
      <c r="O14" s="67">
        <v>0</v>
      </c>
      <c r="P14" s="59" t="s">
        <v>29</v>
      </c>
      <c r="Q14" s="67">
        <v>0</v>
      </c>
      <c r="R14" s="67"/>
      <c r="S14" s="59" t="s">
        <v>30</v>
      </c>
      <c r="T14" s="59" t="s">
        <v>31</v>
      </c>
    </row>
    <row r="15" spans="1:262" ht="60" customHeight="1" x14ac:dyDescent="0.25">
      <c r="A15" s="64" t="str">
        <f>HYPERLINK("https://www.mpam.mp.br/images-j5/DCCON/2026/CONVENIOS%20E%20ACORDOS/Termo%20de%20Adesao%20008-2026.pdf","8/2026 PGJ")</f>
        <v>8/2026 PGJ</v>
      </c>
      <c r="B15" s="59" t="s">
        <v>32</v>
      </c>
      <c r="C15" s="59" t="s">
        <v>46</v>
      </c>
      <c r="D15" s="59" t="s">
        <v>47</v>
      </c>
      <c r="E15" s="59" t="s">
        <v>48</v>
      </c>
      <c r="F15" s="66">
        <v>46142</v>
      </c>
      <c r="G15" s="66">
        <v>46457</v>
      </c>
      <c r="H15" s="59" t="s">
        <v>25</v>
      </c>
      <c r="I15" s="59" t="s">
        <v>49</v>
      </c>
      <c r="J15" s="59" t="s">
        <v>50</v>
      </c>
      <c r="K15" s="59" t="s">
        <v>51</v>
      </c>
      <c r="L15" s="59" t="s">
        <v>52</v>
      </c>
      <c r="M15" s="59" t="s">
        <v>29</v>
      </c>
      <c r="N15" s="59" t="s">
        <v>29</v>
      </c>
      <c r="O15" s="67">
        <v>0</v>
      </c>
      <c r="P15" s="59" t="s">
        <v>29</v>
      </c>
      <c r="Q15" s="67">
        <v>0</v>
      </c>
      <c r="R15" s="67"/>
      <c r="S15" s="59" t="s">
        <v>30</v>
      </c>
      <c r="T15" s="59" t="s">
        <v>31</v>
      </c>
    </row>
    <row r="16" spans="1:262" ht="60" customHeight="1" x14ac:dyDescent="0.25">
      <c r="A16" s="64" t="str">
        <f>HYPERLINK("https://www.mpam.mp.br/images-j5/DCCON/2026/CONVENIOS%20E%20ACORDOS/CN%20001-2026.pdf","TC 1/2026 PGJ")</f>
        <v>TC 1/2026 PGJ</v>
      </c>
      <c r="B16" s="59" t="s">
        <v>21</v>
      </c>
      <c r="C16" s="59" t="s">
        <v>53</v>
      </c>
      <c r="D16" s="59" t="s">
        <v>54</v>
      </c>
      <c r="E16" s="59" t="s">
        <v>55</v>
      </c>
      <c r="F16" s="66">
        <v>46162</v>
      </c>
      <c r="G16" s="66">
        <v>47988</v>
      </c>
      <c r="H16" s="59" t="s">
        <v>25</v>
      </c>
      <c r="I16" s="59" t="s">
        <v>56</v>
      </c>
      <c r="J16" s="59" t="s">
        <v>57</v>
      </c>
      <c r="K16" s="59" t="s">
        <v>58</v>
      </c>
      <c r="L16" s="59"/>
      <c r="M16" s="59" t="s">
        <v>29</v>
      </c>
      <c r="N16" s="59" t="s">
        <v>29</v>
      </c>
      <c r="O16" s="67">
        <v>0</v>
      </c>
      <c r="P16" s="59" t="s">
        <v>29</v>
      </c>
      <c r="Q16" s="67">
        <v>0</v>
      </c>
      <c r="R16" s="67"/>
      <c r="S16" s="59" t="s">
        <v>30</v>
      </c>
      <c r="T16" s="59" t="s">
        <v>31</v>
      </c>
    </row>
    <row r="17" spans="1:21" ht="60" customHeight="1" x14ac:dyDescent="0.25">
      <c r="A17" s="64" t="str">
        <f>HYPERLINK("https://www.mpam.mp.br/images-j5/DCCON/2026/CONVENIOS%20E%20ACORDOS/CN%20002-2026.pdf","TC 2/2026 PGJ")</f>
        <v>TC 2/2026 PGJ</v>
      </c>
      <c r="B17" s="59" t="s">
        <v>21</v>
      </c>
      <c r="C17" s="59" t="s">
        <v>59</v>
      </c>
      <c r="D17" s="59" t="s">
        <v>60</v>
      </c>
      <c r="E17" s="59" t="s">
        <v>61</v>
      </c>
      <c r="F17" s="66">
        <v>46142</v>
      </c>
      <c r="G17" s="66">
        <v>47968</v>
      </c>
      <c r="H17" s="59" t="s">
        <v>25</v>
      </c>
      <c r="I17" s="59" t="s">
        <v>62</v>
      </c>
      <c r="J17" s="59" t="s">
        <v>63</v>
      </c>
      <c r="K17" s="59" t="s">
        <v>64</v>
      </c>
      <c r="L17" s="59"/>
      <c r="M17" s="59" t="s">
        <v>29</v>
      </c>
      <c r="N17" s="59" t="s">
        <v>29</v>
      </c>
      <c r="O17" s="67">
        <v>0</v>
      </c>
      <c r="P17" s="59" t="s">
        <v>29</v>
      </c>
      <c r="Q17" s="67">
        <v>0</v>
      </c>
      <c r="R17" s="67"/>
      <c r="S17" s="59" t="s">
        <v>30</v>
      </c>
      <c r="T17" s="59" t="s">
        <v>31</v>
      </c>
    </row>
    <row r="18" spans="1:21" ht="60" customHeight="1" x14ac:dyDescent="0.25">
      <c r="A18" s="64" t="str">
        <f>HYPERLINK("https://www.mpam.mp.br/images-j5/DCCON/2026/CONVENIOS%20E%20ACORDOS/Termo%20de%20Adesao%20001-2026.pdf","1/2026 PGJ")</f>
        <v>1/2026 PGJ</v>
      </c>
      <c r="B18" s="59" t="s">
        <v>32</v>
      </c>
      <c r="C18" s="59" t="s">
        <v>65</v>
      </c>
      <c r="D18" s="59" t="s">
        <v>66</v>
      </c>
      <c r="E18" s="59" t="s">
        <v>67</v>
      </c>
      <c r="F18" s="66">
        <v>46134</v>
      </c>
      <c r="G18" s="66">
        <v>47710</v>
      </c>
      <c r="H18" s="59" t="s">
        <v>25</v>
      </c>
      <c r="I18" s="59" t="s">
        <v>68</v>
      </c>
      <c r="J18" s="59" t="s">
        <v>69</v>
      </c>
      <c r="K18" s="59" t="s">
        <v>70</v>
      </c>
      <c r="L18" s="59" t="s">
        <v>71</v>
      </c>
      <c r="M18" s="59" t="s">
        <v>29</v>
      </c>
      <c r="N18" s="59" t="s">
        <v>29</v>
      </c>
      <c r="O18" s="67">
        <v>0</v>
      </c>
      <c r="P18" s="59" t="s">
        <v>29</v>
      </c>
      <c r="Q18" s="67">
        <v>0</v>
      </c>
      <c r="R18" s="67"/>
      <c r="S18" s="59" t="s">
        <v>30</v>
      </c>
      <c r="T18" s="59" t="s">
        <v>31</v>
      </c>
    </row>
    <row r="19" spans="1:21" s="27" customFormat="1" ht="60" customHeight="1" x14ac:dyDescent="0.25">
      <c r="A19" s="64" t="str">
        <f>HYPERLINK("https://www.mpam.mp.br/images-j5/DCCON/2026/CONVENIOS%20E%20ACORDOS/TCAI%20SN-CGU.pdf","0/2026 PGJ")</f>
        <v>0/2026 PGJ</v>
      </c>
      <c r="B19" s="59" t="s">
        <v>72</v>
      </c>
      <c r="C19" s="59" t="s">
        <v>73</v>
      </c>
      <c r="D19" s="59" t="s">
        <v>74</v>
      </c>
      <c r="E19" s="59" t="s">
        <v>75</v>
      </c>
      <c r="F19" s="66">
        <v>46104</v>
      </c>
      <c r="G19" s="66">
        <v>82628</v>
      </c>
      <c r="H19" s="59" t="s">
        <v>76</v>
      </c>
      <c r="I19" s="59" t="s">
        <v>77</v>
      </c>
      <c r="J19" s="59" t="s">
        <v>78</v>
      </c>
      <c r="K19" s="59" t="s">
        <v>38</v>
      </c>
      <c r="L19" s="67" t="s">
        <v>79</v>
      </c>
      <c r="M19" s="59" t="s">
        <v>29</v>
      </c>
      <c r="N19" s="59" t="s">
        <v>29</v>
      </c>
      <c r="O19" s="67">
        <v>0</v>
      </c>
      <c r="P19" s="59" t="s">
        <v>29</v>
      </c>
      <c r="Q19" s="67">
        <v>0</v>
      </c>
      <c r="R19" s="67"/>
      <c r="S19" s="59" t="s">
        <v>30</v>
      </c>
      <c r="T19" s="59" t="s">
        <v>31</v>
      </c>
      <c r="U19"/>
    </row>
    <row r="20" spans="1:21" s="27" customFormat="1" ht="60" customHeight="1" x14ac:dyDescent="0.25">
      <c r="A20" s="64" t="str">
        <f>HYPERLINK("https://www.mpam.mp.br/images-j5/DCCON/2026/CONVENIOS%20E%20ACORDOS/ACT%20001-2026.pdf","TCT 1/2026 PGJ")</f>
        <v>TCT 1/2026 PGJ</v>
      </c>
      <c r="B20" s="59" t="s">
        <v>21</v>
      </c>
      <c r="C20" s="59" t="s">
        <v>80</v>
      </c>
      <c r="D20" s="59" t="s">
        <v>81</v>
      </c>
      <c r="E20" s="59" t="s">
        <v>82</v>
      </c>
      <c r="F20" s="66">
        <v>46090</v>
      </c>
      <c r="G20" s="66">
        <v>46821</v>
      </c>
      <c r="H20" s="59" t="s">
        <v>76</v>
      </c>
      <c r="I20" s="59" t="s">
        <v>83</v>
      </c>
      <c r="J20" s="59" t="s">
        <v>84</v>
      </c>
      <c r="K20" s="59" t="s">
        <v>85</v>
      </c>
      <c r="L20" s="67" t="s">
        <v>86</v>
      </c>
      <c r="M20" s="59" t="s">
        <v>29</v>
      </c>
      <c r="N20" s="59" t="s">
        <v>29</v>
      </c>
      <c r="O20" s="67">
        <v>0</v>
      </c>
      <c r="P20" s="59" t="s">
        <v>29</v>
      </c>
      <c r="Q20" s="67">
        <v>0</v>
      </c>
      <c r="R20" s="67"/>
      <c r="S20" s="59" t="s">
        <v>30</v>
      </c>
      <c r="T20" s="59" t="s">
        <v>31</v>
      </c>
      <c r="U20"/>
    </row>
    <row r="21" spans="1:21" s="27" customFormat="1" ht="60" customHeight="1" x14ac:dyDescent="0.25">
      <c r="A21" s="64" t="str">
        <f>HYPERLINK("https://www.mpam.mp.br/images-j5/DCCON/2026/CONVENIOS%20E%20ACORDOS/TCU%20n.o%200102.AM.000001_2026.pdf","TCA 102/2026 PGJ")</f>
        <v>TCA 102/2026 PGJ</v>
      </c>
      <c r="B21" s="59" t="s">
        <v>87</v>
      </c>
      <c r="C21" s="59" t="s">
        <v>88</v>
      </c>
      <c r="D21" s="59" t="s">
        <v>89</v>
      </c>
      <c r="E21" s="60" t="s">
        <v>90</v>
      </c>
      <c r="F21" s="66">
        <v>46085</v>
      </c>
      <c r="G21" s="66">
        <v>53390</v>
      </c>
      <c r="H21" s="59" t="s">
        <v>25</v>
      </c>
      <c r="I21" s="59" t="s">
        <v>91</v>
      </c>
      <c r="J21" s="59" t="s">
        <v>92</v>
      </c>
      <c r="K21" s="59" t="s">
        <v>93</v>
      </c>
      <c r="L21" s="59" t="s">
        <v>94</v>
      </c>
      <c r="M21" s="59" t="s">
        <v>29</v>
      </c>
      <c r="N21" s="59" t="s">
        <v>29</v>
      </c>
      <c r="O21" s="67">
        <v>0</v>
      </c>
      <c r="P21" s="59" t="s">
        <v>29</v>
      </c>
      <c r="Q21" s="67">
        <v>0</v>
      </c>
      <c r="R21" s="67"/>
      <c r="S21" s="59" t="s">
        <v>30</v>
      </c>
      <c r="T21" s="59" t="s">
        <v>31</v>
      </c>
      <c r="U21"/>
    </row>
    <row r="22" spans="1:21" s="27" customFormat="1" ht="60" customHeight="1" x14ac:dyDescent="0.25">
      <c r="A22" s="64" t="str">
        <f>HYPERLINK("https://www.mpam.mp.br/images-j5/DCCON/2026/CONVENIOS%20E%20ACORDOS/ACT%20SN%20-%20MPF.pdf","TCT 0/2026 PGJ")</f>
        <v>TCT 0/2026 PGJ</v>
      </c>
      <c r="B22" s="59" t="s">
        <v>21</v>
      </c>
      <c r="C22" s="59" t="s">
        <v>95</v>
      </c>
      <c r="D22" s="59" t="s">
        <v>96</v>
      </c>
      <c r="E22" s="60" t="s">
        <v>97</v>
      </c>
      <c r="F22" s="66">
        <v>46072</v>
      </c>
      <c r="G22" s="66">
        <v>47898</v>
      </c>
      <c r="H22" s="59" t="s">
        <v>25</v>
      </c>
      <c r="I22" s="59" t="s">
        <v>98</v>
      </c>
      <c r="J22" s="59" t="s">
        <v>99</v>
      </c>
      <c r="K22" s="59" t="s">
        <v>100</v>
      </c>
      <c r="L22" s="59" t="s">
        <v>101</v>
      </c>
      <c r="M22" s="59" t="s">
        <v>29</v>
      </c>
      <c r="N22" s="59" t="s">
        <v>29</v>
      </c>
      <c r="O22" s="67">
        <v>0</v>
      </c>
      <c r="P22" s="59" t="s">
        <v>29</v>
      </c>
      <c r="Q22" s="67">
        <v>0</v>
      </c>
      <c r="R22" s="67"/>
      <c r="S22" s="59" t="s">
        <v>30</v>
      </c>
      <c r="T22" s="59" t="s">
        <v>31</v>
      </c>
      <c r="U22"/>
    </row>
    <row r="23" spans="1:21" ht="60" customHeight="1" x14ac:dyDescent="0.25">
      <c r="A23" s="64" t="str">
        <f>HYPERLINK("https://www.mpam.mp.br/images-j5/DCCON/2026/CONVENIOS%20E%20ACORDOS/TCU%20No%20001-2026.pdf","CCS 1/2026 PGJ")</f>
        <v>CCS 1/2026 PGJ</v>
      </c>
      <c r="B23" s="59" t="s">
        <v>87</v>
      </c>
      <c r="C23" s="59" t="s">
        <v>102</v>
      </c>
      <c r="D23" s="57" t="s">
        <v>103</v>
      </c>
      <c r="E23" s="60" t="s">
        <v>104</v>
      </c>
      <c r="F23" s="66">
        <v>46066</v>
      </c>
      <c r="G23" s="66">
        <v>53371</v>
      </c>
      <c r="H23" s="59" t="s">
        <v>25</v>
      </c>
      <c r="I23" s="59" t="s">
        <v>105</v>
      </c>
      <c r="J23" s="59" t="s">
        <v>106</v>
      </c>
      <c r="K23" s="59" t="s">
        <v>107</v>
      </c>
      <c r="L23" s="59" t="s">
        <v>94</v>
      </c>
      <c r="M23" s="59" t="s">
        <v>29</v>
      </c>
      <c r="N23" s="59" t="s">
        <v>29</v>
      </c>
      <c r="O23" s="67">
        <v>0</v>
      </c>
      <c r="P23" s="59" t="s">
        <v>29</v>
      </c>
      <c r="Q23" s="69">
        <v>0</v>
      </c>
      <c r="R23" s="69"/>
      <c r="S23" s="59" t="s">
        <v>30</v>
      </c>
      <c r="T23" s="59" t="s">
        <v>31</v>
      </c>
    </row>
    <row r="24" spans="1:21" ht="60" customHeight="1" x14ac:dyDescent="0.25">
      <c r="A24" s="64" t="str">
        <f>HYPERLINK("https://www.mpam.mp.br/images-j5/DCCON/Convenio%20-%202025/TC%20001-2025.pdf","CCS 1/2025 PGJ")</f>
        <v>CCS 1/2025 PGJ</v>
      </c>
      <c r="B24" s="59" t="s">
        <v>87</v>
      </c>
      <c r="C24" s="59" t="s">
        <v>108</v>
      </c>
      <c r="D24" s="57" t="s">
        <v>109</v>
      </c>
      <c r="E24" s="60" t="s">
        <v>110</v>
      </c>
      <c r="F24" s="66">
        <v>46006</v>
      </c>
      <c r="G24" s="66">
        <v>46371</v>
      </c>
      <c r="H24" s="59" t="s">
        <v>76</v>
      </c>
      <c r="I24" s="59" t="s">
        <v>111</v>
      </c>
      <c r="J24" s="59" t="s">
        <v>112</v>
      </c>
      <c r="K24" s="59" t="s">
        <v>111</v>
      </c>
      <c r="L24" s="59" t="s">
        <v>113</v>
      </c>
      <c r="M24" s="59" t="s">
        <v>29</v>
      </c>
      <c r="N24" s="59" t="s">
        <v>29</v>
      </c>
      <c r="O24" s="67">
        <v>0</v>
      </c>
      <c r="P24" s="59" t="s">
        <v>29</v>
      </c>
      <c r="Q24" s="69">
        <v>0</v>
      </c>
      <c r="R24" s="69"/>
      <c r="S24" s="59" t="s">
        <v>30</v>
      </c>
      <c r="T24" s="59" t="s">
        <v>31</v>
      </c>
    </row>
    <row r="25" spans="1:21" ht="60" customHeight="1" x14ac:dyDescent="0.25">
      <c r="A25" s="64" t="str">
        <f>HYPERLINK("https://www.mpam.mp.br/images/ACT_044-2025_-_MPRN_cb63f.pdf","TCT 44/2025 PGJ")</f>
        <v>TCT 44/2025 PGJ</v>
      </c>
      <c r="B25" s="59" t="s">
        <v>21</v>
      </c>
      <c r="C25" s="59" t="s">
        <v>114</v>
      </c>
      <c r="D25" s="59" t="s">
        <v>115</v>
      </c>
      <c r="E25" s="59" t="s">
        <v>116</v>
      </c>
      <c r="F25" s="66">
        <v>45988</v>
      </c>
      <c r="G25" s="66">
        <v>46900</v>
      </c>
      <c r="H25" s="59" t="s">
        <v>76</v>
      </c>
      <c r="I25" s="59" t="s">
        <v>117</v>
      </c>
      <c r="J25" s="59" t="s">
        <v>118</v>
      </c>
      <c r="K25" s="59" t="s">
        <v>119</v>
      </c>
      <c r="L25" s="59" t="s">
        <v>101</v>
      </c>
      <c r="M25" s="59" t="s">
        <v>29</v>
      </c>
      <c r="N25" s="59" t="s">
        <v>29</v>
      </c>
      <c r="O25" s="67">
        <v>0</v>
      </c>
      <c r="P25" s="59" t="s">
        <v>29</v>
      </c>
      <c r="Q25" s="69">
        <v>0</v>
      </c>
      <c r="R25" s="69"/>
      <c r="S25" s="59" t="s">
        <v>30</v>
      </c>
      <c r="T25" s="59" t="s">
        <v>31</v>
      </c>
    </row>
    <row r="26" spans="1:21" ht="60" customHeight="1" x14ac:dyDescent="0.25">
      <c r="A26" s="64" t="str">
        <f>HYPERLINK("https://www.mpam.mp.br/images/Termo_de_Adesao_ao_Sede_de_Aprender_-_CNMP_51c9b.pdf","Termo de Adesão ao Sede de Aprender")</f>
        <v>Termo de Adesão ao Sede de Aprender</v>
      </c>
      <c r="B26" s="59" t="s">
        <v>32</v>
      </c>
      <c r="C26" s="59" t="s">
        <v>120</v>
      </c>
      <c r="D26" s="59" t="s">
        <v>121</v>
      </c>
      <c r="E26" s="59" t="s">
        <v>122</v>
      </c>
      <c r="F26" s="66">
        <v>45965</v>
      </c>
      <c r="G26" s="66">
        <v>47050</v>
      </c>
      <c r="H26" s="59" t="s">
        <v>25</v>
      </c>
      <c r="I26" s="59" t="s">
        <v>36</v>
      </c>
      <c r="J26" s="59" t="s">
        <v>123</v>
      </c>
      <c r="K26" s="59" t="s">
        <v>124</v>
      </c>
      <c r="L26" s="59" t="s">
        <v>125</v>
      </c>
      <c r="M26" s="59" t="s">
        <v>29</v>
      </c>
      <c r="N26" s="59" t="s">
        <v>29</v>
      </c>
      <c r="O26" s="67">
        <v>0</v>
      </c>
      <c r="P26" s="59" t="s">
        <v>29</v>
      </c>
      <c r="Q26" s="67">
        <v>0</v>
      </c>
      <c r="R26" s="67"/>
      <c r="S26" s="59" t="s">
        <v>30</v>
      </c>
      <c r="T26" s="59" t="s">
        <v>31</v>
      </c>
    </row>
    <row r="27" spans="1:21" ht="60" customHeight="1" x14ac:dyDescent="0.25">
      <c r="A27" s="64" t="str">
        <f>HYPERLINK("https://www.mpam.mp.br/images/ACT_022-2025_-_MPAM_be7f3.pdf","TCT 22/2025 PGJ")</f>
        <v>TCT 22/2025 PGJ</v>
      </c>
      <c r="B27" s="59" t="s">
        <v>21</v>
      </c>
      <c r="C27" s="59" t="s">
        <v>126</v>
      </c>
      <c r="D27" s="59" t="s">
        <v>121</v>
      </c>
      <c r="E27" s="59" t="s">
        <v>127</v>
      </c>
      <c r="F27" s="66">
        <v>45989</v>
      </c>
      <c r="G27" s="66">
        <v>47815</v>
      </c>
      <c r="H27" s="59" t="s">
        <v>25</v>
      </c>
      <c r="I27" s="59" t="s">
        <v>128</v>
      </c>
      <c r="J27" s="59" t="s">
        <v>129</v>
      </c>
      <c r="K27" s="59" t="s">
        <v>130</v>
      </c>
      <c r="L27" s="59" t="s">
        <v>131</v>
      </c>
      <c r="M27" s="59" t="s">
        <v>29</v>
      </c>
      <c r="N27" s="59" t="s">
        <v>29</v>
      </c>
      <c r="O27" s="67">
        <v>0</v>
      </c>
      <c r="P27" s="59" t="s">
        <v>29</v>
      </c>
      <c r="Q27" s="67">
        <v>0</v>
      </c>
      <c r="R27" s="67"/>
      <c r="S27" s="59" t="s">
        <v>30</v>
      </c>
      <c r="T27" s="59" t="s">
        <v>31</v>
      </c>
    </row>
    <row r="28" spans="1:21" ht="60" customHeight="1" x14ac:dyDescent="0.25">
      <c r="A28" s="64" t="str">
        <f>HYPERLINK("https://www.mpam.mp.br/images/ACT_N%C2%BA_021-2025_69bee.pdf","TCT 21/2025 PGJ")</f>
        <v>TCT 21/2025 PGJ</v>
      </c>
      <c r="B28" s="59" t="s">
        <v>21</v>
      </c>
      <c r="C28" s="68" t="s">
        <v>132</v>
      </c>
      <c r="D28" s="57" t="s">
        <v>133</v>
      </c>
      <c r="E28" s="70" t="s">
        <v>134</v>
      </c>
      <c r="F28" s="66">
        <v>45965</v>
      </c>
      <c r="G28" s="66">
        <v>46695</v>
      </c>
      <c r="H28" s="59" t="s">
        <v>25</v>
      </c>
      <c r="I28" s="68" t="s">
        <v>135</v>
      </c>
      <c r="J28" s="59" t="s">
        <v>136</v>
      </c>
      <c r="K28" s="59" t="s">
        <v>137</v>
      </c>
      <c r="L28" s="59" t="s">
        <v>138</v>
      </c>
      <c r="M28" s="59" t="s">
        <v>29</v>
      </c>
      <c r="N28" s="59" t="s">
        <v>29</v>
      </c>
      <c r="O28" s="67">
        <v>0</v>
      </c>
      <c r="P28" s="59" t="s">
        <v>29</v>
      </c>
      <c r="Q28" s="67">
        <v>0</v>
      </c>
      <c r="R28" s="67"/>
      <c r="S28" s="59" t="s">
        <v>30</v>
      </c>
      <c r="T28" s="59" t="s">
        <v>31</v>
      </c>
    </row>
    <row r="29" spans="1:21" ht="60" customHeight="1" x14ac:dyDescent="0.25">
      <c r="A29" s="64" t="str">
        <f>HYPERLINK("https://mpam.mp.br/images/ACT_018-2025_18291.pdf","TCT 18/2025 PGJ")</f>
        <v>TCT 18/2025 PGJ</v>
      </c>
      <c r="B29" s="59" t="s">
        <v>21</v>
      </c>
      <c r="C29" s="68" t="s">
        <v>139</v>
      </c>
      <c r="D29" s="57" t="s">
        <v>140</v>
      </c>
      <c r="E29" s="60" t="s">
        <v>141</v>
      </c>
      <c r="F29" s="66">
        <v>45946</v>
      </c>
      <c r="G29" s="66" t="s">
        <v>142</v>
      </c>
      <c r="H29" s="59" t="s">
        <v>76</v>
      </c>
      <c r="I29" s="68" t="s">
        <v>143</v>
      </c>
      <c r="J29" s="59" t="s">
        <v>144</v>
      </c>
      <c r="K29" s="59" t="s">
        <v>145</v>
      </c>
      <c r="L29" s="59" t="s">
        <v>146</v>
      </c>
      <c r="M29" s="59" t="s">
        <v>29</v>
      </c>
      <c r="N29" s="59" t="s">
        <v>29</v>
      </c>
      <c r="O29" s="67">
        <v>0</v>
      </c>
      <c r="P29" s="59" t="s">
        <v>29</v>
      </c>
      <c r="Q29" s="67">
        <v>0</v>
      </c>
      <c r="R29" s="67"/>
      <c r="S29" s="59" t="s">
        <v>30</v>
      </c>
      <c r="T29" s="59" t="s">
        <v>31</v>
      </c>
    </row>
    <row r="30" spans="1:21" ht="60" customHeight="1" x14ac:dyDescent="0.25">
      <c r="A30" s="64" t="str">
        <f>HYPERLINK("https://mpam.mp.br/images/ACT_025-2025_-_MPMT_947c0.pdf","TCT 25/2025 PGJ")</f>
        <v>TCT 25/2025 PGJ</v>
      </c>
      <c r="B30" s="59" t="s">
        <v>21</v>
      </c>
      <c r="C30" s="68" t="s">
        <v>147</v>
      </c>
      <c r="D30" s="57" t="s">
        <v>148</v>
      </c>
      <c r="E30" s="70" t="s">
        <v>149</v>
      </c>
      <c r="F30" s="66">
        <v>45945</v>
      </c>
      <c r="G30" s="66" t="s">
        <v>150</v>
      </c>
      <c r="H30" s="59" t="s">
        <v>76</v>
      </c>
      <c r="I30" s="68" t="s">
        <v>151</v>
      </c>
      <c r="J30" s="59" t="s">
        <v>152</v>
      </c>
      <c r="K30" s="59" t="s">
        <v>153</v>
      </c>
      <c r="L30" s="59" t="s">
        <v>154</v>
      </c>
      <c r="M30" s="59" t="s">
        <v>29</v>
      </c>
      <c r="N30" s="59" t="s">
        <v>29</v>
      </c>
      <c r="O30" s="67">
        <v>0</v>
      </c>
      <c r="P30" s="59" t="s">
        <v>29</v>
      </c>
      <c r="Q30" s="67">
        <v>0</v>
      </c>
      <c r="R30" s="67"/>
      <c r="S30" s="59" t="s">
        <v>30</v>
      </c>
      <c r="T30" s="59" t="s">
        <v>31</v>
      </c>
    </row>
    <row r="31" spans="1:21" ht="60" customHeight="1" x14ac:dyDescent="0.25">
      <c r="A31" s="64" t="str">
        <f>HYPERLINK("https://mpam.mp.br/images/ACT_SN_-_TRANQUILAMENTE_f45d8.pdf","TCT 0/2025 PGJ")</f>
        <v>TCT 0/2025 PGJ</v>
      </c>
      <c r="B31" s="59" t="s">
        <v>21</v>
      </c>
      <c r="C31" s="59" t="s">
        <v>155</v>
      </c>
      <c r="D31" s="59" t="s">
        <v>156</v>
      </c>
      <c r="E31" s="59" t="s">
        <v>157</v>
      </c>
      <c r="F31" s="71">
        <v>45944</v>
      </c>
      <c r="G31" s="59" t="s">
        <v>158</v>
      </c>
      <c r="H31" s="59" t="s">
        <v>76</v>
      </c>
      <c r="I31" s="59" t="s">
        <v>159</v>
      </c>
      <c r="J31" s="59" t="s">
        <v>160</v>
      </c>
      <c r="K31" s="59" t="s">
        <v>161</v>
      </c>
      <c r="L31" s="59" t="s">
        <v>94</v>
      </c>
      <c r="M31" s="59" t="s">
        <v>29</v>
      </c>
      <c r="N31" s="59" t="s">
        <v>29</v>
      </c>
      <c r="O31" s="67">
        <v>0</v>
      </c>
      <c r="P31" s="59" t="s">
        <v>29</v>
      </c>
      <c r="Q31" s="67">
        <v>0</v>
      </c>
      <c r="R31" s="67"/>
      <c r="S31" s="59" t="s">
        <v>30</v>
      </c>
      <c r="T31" s="59" t="s">
        <v>31</v>
      </c>
    </row>
    <row r="32" spans="1:21" ht="60" customHeight="1" x14ac:dyDescent="0.25">
      <c r="A32" s="64" t="str">
        <f>HYPERLINK("https://mpam.mp.br/images/ACT_n%C2%BA_019-2025_37257.pdf","TCT 19/2025 PGJ")</f>
        <v>TCT 19/2025 PGJ</v>
      </c>
      <c r="B32" s="59" t="s">
        <v>21</v>
      </c>
      <c r="C32" s="59" t="s">
        <v>162</v>
      </c>
      <c r="D32" s="59" t="s">
        <v>163</v>
      </c>
      <c r="E32" s="59" t="s">
        <v>164</v>
      </c>
      <c r="F32" s="71">
        <v>45933</v>
      </c>
      <c r="G32" s="59" t="s">
        <v>165</v>
      </c>
      <c r="H32" s="59" t="s">
        <v>76</v>
      </c>
      <c r="I32" s="59" t="s">
        <v>166</v>
      </c>
      <c r="J32" s="59" t="s">
        <v>167</v>
      </c>
      <c r="K32" s="72" t="s">
        <v>168</v>
      </c>
      <c r="L32" s="59" t="s">
        <v>169</v>
      </c>
      <c r="M32" s="59" t="s">
        <v>29</v>
      </c>
      <c r="N32" s="59" t="s">
        <v>29</v>
      </c>
      <c r="O32" s="67">
        <v>0</v>
      </c>
      <c r="P32" s="59" t="s">
        <v>29</v>
      </c>
      <c r="Q32" s="67">
        <v>0</v>
      </c>
      <c r="R32" s="67"/>
      <c r="S32" s="59" t="s">
        <v>30</v>
      </c>
      <c r="T32" s="59" t="s">
        <v>31</v>
      </c>
    </row>
    <row r="33" spans="1:21" ht="60" customHeight="1" x14ac:dyDescent="0.25">
      <c r="A33" s="64" t="str">
        <f>HYPERLINK("https://mpam.mp.br/images/ACT_14-2025_-_MPGO_8e042.pdf","TCT 14/2025 PGJ")</f>
        <v>TCT 14/2025 PGJ</v>
      </c>
      <c r="B33" s="59" t="s">
        <v>21</v>
      </c>
      <c r="C33" s="59" t="s">
        <v>170</v>
      </c>
      <c r="D33" s="59" t="s">
        <v>171</v>
      </c>
      <c r="E33" s="59" t="s">
        <v>172</v>
      </c>
      <c r="F33" s="71">
        <v>45932</v>
      </c>
      <c r="G33" s="59" t="s">
        <v>173</v>
      </c>
      <c r="H33" s="59" t="s">
        <v>76</v>
      </c>
      <c r="I33" s="59" t="s">
        <v>174</v>
      </c>
      <c r="J33" s="59" t="s">
        <v>175</v>
      </c>
      <c r="K33" s="72" t="s">
        <v>176</v>
      </c>
      <c r="L33" s="59" t="s">
        <v>177</v>
      </c>
      <c r="M33" s="59" t="s">
        <v>29</v>
      </c>
      <c r="N33" s="59" t="s">
        <v>29</v>
      </c>
      <c r="O33" s="67">
        <v>0</v>
      </c>
      <c r="P33" s="59" t="s">
        <v>29</v>
      </c>
      <c r="Q33" s="67">
        <v>0</v>
      </c>
      <c r="R33" s="67"/>
      <c r="S33" s="59" t="s">
        <v>30</v>
      </c>
      <c r="T33" s="59" t="s">
        <v>31</v>
      </c>
    </row>
    <row r="34" spans="1:21" ht="60" customHeight="1" x14ac:dyDescent="0.25">
      <c r="A34" s="64" t="str">
        <f>HYPERLINK("https://mpam.mp.br/images/ACT_024-2025_-_MPMT_e247e.pdf","TCT 24/2025 PGJ")</f>
        <v>TCT 24/2025 PGJ</v>
      </c>
      <c r="B34" s="59" t="s">
        <v>21</v>
      </c>
      <c r="C34" s="59" t="s">
        <v>178</v>
      </c>
      <c r="D34" s="59" t="s">
        <v>179</v>
      </c>
      <c r="E34" s="59" t="s">
        <v>180</v>
      </c>
      <c r="F34" s="71">
        <v>45926</v>
      </c>
      <c r="G34" s="59" t="s">
        <v>181</v>
      </c>
      <c r="H34" s="59" t="s">
        <v>76</v>
      </c>
      <c r="I34" s="59" t="s">
        <v>151</v>
      </c>
      <c r="J34" s="59" t="s">
        <v>152</v>
      </c>
      <c r="K34" s="72" t="s">
        <v>153</v>
      </c>
      <c r="L34" s="59" t="s">
        <v>182</v>
      </c>
      <c r="M34" s="59" t="s">
        <v>29</v>
      </c>
      <c r="N34" s="59" t="s">
        <v>29</v>
      </c>
      <c r="O34" s="67">
        <v>0</v>
      </c>
      <c r="P34" s="59" t="s">
        <v>29</v>
      </c>
      <c r="Q34" s="67">
        <v>0</v>
      </c>
      <c r="R34" s="67"/>
      <c r="S34" s="59" t="s">
        <v>30</v>
      </c>
      <c r="T34" s="59" t="s">
        <v>31</v>
      </c>
    </row>
    <row r="35" spans="1:21" ht="60" customHeight="1" x14ac:dyDescent="0.25">
      <c r="A35" s="64" t="str">
        <f>HYPERLINK("https://www.mpam.mp.br/images/ACT_017-2025_26b22.pdf","TCT 17/2025 PGJ")</f>
        <v>TCT 17/2025 PGJ</v>
      </c>
      <c r="B35" s="59" t="s">
        <v>21</v>
      </c>
      <c r="C35" s="59" t="s">
        <v>183</v>
      </c>
      <c r="D35" s="59" t="s">
        <v>184</v>
      </c>
      <c r="E35" s="59" t="s">
        <v>185</v>
      </c>
      <c r="F35" s="71">
        <v>45929</v>
      </c>
      <c r="G35" s="59" t="s">
        <v>186</v>
      </c>
      <c r="H35" s="59" t="s">
        <v>76</v>
      </c>
      <c r="I35" s="59" t="s">
        <v>166</v>
      </c>
      <c r="J35" s="59" t="s">
        <v>167</v>
      </c>
      <c r="K35" s="72" t="s">
        <v>187</v>
      </c>
      <c r="L35" s="59" t="s">
        <v>188</v>
      </c>
      <c r="M35" s="59" t="s">
        <v>29</v>
      </c>
      <c r="N35" s="59" t="s">
        <v>29</v>
      </c>
      <c r="O35" s="67">
        <v>0</v>
      </c>
      <c r="P35" s="59" t="s">
        <v>29</v>
      </c>
      <c r="Q35" s="67">
        <v>0</v>
      </c>
      <c r="R35" s="67"/>
      <c r="S35" s="59" t="s">
        <v>30</v>
      </c>
      <c r="T35" s="59" t="str">
        <f>HYPERLINK("https://www.mpam.mp.br/images-j5/DCCON/2026/TERMOS%20ADITIVOS%20-%20CONVENIOS/1o%20TAP%20AO%20ACT%20017-2025.pdf","1º TAP")</f>
        <v>1º TAP</v>
      </c>
    </row>
    <row r="36" spans="1:21" ht="60" customHeight="1" x14ac:dyDescent="0.25">
      <c r="A36" s="64" t="str">
        <f>HYPERLINK("https://www.mpam.mp.br/images/TCT_001-2025_-_SEFAZ_4c360.pdf","TCT 1/2025 PGJ")</f>
        <v>TCT 1/2025 PGJ</v>
      </c>
      <c r="B36" s="59" t="s">
        <v>21</v>
      </c>
      <c r="C36" s="59" t="s">
        <v>189</v>
      </c>
      <c r="D36" s="59" t="s">
        <v>190</v>
      </c>
      <c r="E36" s="59" t="s">
        <v>191</v>
      </c>
      <c r="F36" s="66">
        <v>45925</v>
      </c>
      <c r="G36" s="59" t="s">
        <v>192</v>
      </c>
      <c r="H36" s="59" t="s">
        <v>76</v>
      </c>
      <c r="I36" s="59" t="s">
        <v>193</v>
      </c>
      <c r="J36" s="59" t="s">
        <v>194</v>
      </c>
      <c r="K36" s="72" t="s">
        <v>195</v>
      </c>
      <c r="L36" s="59" t="s">
        <v>196</v>
      </c>
      <c r="M36" s="59" t="s">
        <v>29</v>
      </c>
      <c r="N36" s="59" t="s">
        <v>29</v>
      </c>
      <c r="O36" s="67">
        <v>0</v>
      </c>
      <c r="P36" s="59" t="s">
        <v>29</v>
      </c>
      <c r="Q36" s="67">
        <v>0</v>
      </c>
      <c r="R36" s="67"/>
      <c r="S36" s="59" t="s">
        <v>30</v>
      </c>
      <c r="T36" s="59" t="s">
        <v>31</v>
      </c>
    </row>
    <row r="37" spans="1:21" s="27" customFormat="1" ht="60" customHeight="1" x14ac:dyDescent="0.25">
      <c r="A37" s="64" t="str">
        <f>HYPERLINK("https://www.mpam.mp.br/images/ACT_N%C2%BA_006-2025_29741.pdf","TCT 6/2025 PGJ")</f>
        <v>TCT 6/2025 PGJ</v>
      </c>
      <c r="B37" s="59" t="s">
        <v>21</v>
      </c>
      <c r="C37" s="59" t="s">
        <v>197</v>
      </c>
      <c r="D37" s="59" t="s">
        <v>198</v>
      </c>
      <c r="E37" s="59" t="s">
        <v>199</v>
      </c>
      <c r="F37" s="71">
        <v>45919</v>
      </c>
      <c r="G37" s="59" t="s">
        <v>200</v>
      </c>
      <c r="H37" s="59" t="s">
        <v>76</v>
      </c>
      <c r="I37" s="59" t="s">
        <v>201</v>
      </c>
      <c r="J37" s="59" t="s">
        <v>202</v>
      </c>
      <c r="K37" s="59" t="s">
        <v>187</v>
      </c>
      <c r="L37" s="59" t="s">
        <v>146</v>
      </c>
      <c r="M37" s="59" t="s">
        <v>29</v>
      </c>
      <c r="N37" s="59" t="s">
        <v>29</v>
      </c>
      <c r="O37" s="67">
        <v>0</v>
      </c>
      <c r="P37" s="59" t="s">
        <v>29</v>
      </c>
      <c r="Q37" s="67">
        <v>0</v>
      </c>
      <c r="R37" s="67"/>
      <c r="S37" s="59" t="s">
        <v>30</v>
      </c>
      <c r="T37" s="73" t="s">
        <v>31</v>
      </c>
      <c r="U37" s="46"/>
    </row>
    <row r="38" spans="1:21" s="27" customFormat="1" ht="60" customHeight="1" x14ac:dyDescent="0.25">
      <c r="A38" s="64" t="str">
        <f>HYPERLINK("https://www.mpam.mp.br/images/ACT_N%C2%BA_008-2025_63824.pdf","TCT 8/2025 PGJ")</f>
        <v>TCT 8/2025 PGJ</v>
      </c>
      <c r="B38" s="59" t="s">
        <v>21</v>
      </c>
      <c r="C38" s="59" t="s">
        <v>203</v>
      </c>
      <c r="D38" s="59" t="s">
        <v>204</v>
      </c>
      <c r="E38" s="59" t="s">
        <v>205</v>
      </c>
      <c r="F38" s="71">
        <v>45917</v>
      </c>
      <c r="G38" s="59" t="s">
        <v>206</v>
      </c>
      <c r="H38" s="59" t="s">
        <v>76</v>
      </c>
      <c r="I38" s="59" t="s">
        <v>207</v>
      </c>
      <c r="J38" s="59" t="s">
        <v>208</v>
      </c>
      <c r="K38" s="59" t="s">
        <v>187</v>
      </c>
      <c r="L38" s="59" t="s">
        <v>209</v>
      </c>
      <c r="M38" s="59" t="s">
        <v>29</v>
      </c>
      <c r="N38" s="59" t="s">
        <v>29</v>
      </c>
      <c r="O38" s="67">
        <v>0</v>
      </c>
      <c r="P38" s="59" t="s">
        <v>29</v>
      </c>
      <c r="Q38" s="67">
        <v>0</v>
      </c>
      <c r="R38" s="67"/>
      <c r="S38" s="59" t="s">
        <v>30</v>
      </c>
      <c r="T38" s="73" t="s">
        <v>31</v>
      </c>
      <c r="U38" s="46"/>
    </row>
    <row r="39" spans="1:21" s="27" customFormat="1" ht="60" customHeight="1" x14ac:dyDescent="0.25">
      <c r="A39" s="64" t="str">
        <f>HYPERLINK("https://www.mpam.mp.br/images/ACT_N%C2%BA_013-2025_fa694.pdf","TCT 13/2025 PGJ")</f>
        <v>TCT 13/2025 PGJ</v>
      </c>
      <c r="B39" s="59" t="s">
        <v>21</v>
      </c>
      <c r="C39" s="59" t="s">
        <v>210</v>
      </c>
      <c r="D39" s="59" t="s">
        <v>211</v>
      </c>
      <c r="E39" s="59" t="s">
        <v>212</v>
      </c>
      <c r="F39" s="71">
        <v>45911</v>
      </c>
      <c r="G39" s="59" t="s">
        <v>213</v>
      </c>
      <c r="H39" s="59" t="s">
        <v>76</v>
      </c>
      <c r="I39" s="59" t="s">
        <v>214</v>
      </c>
      <c r="J39" s="59" t="s">
        <v>215</v>
      </c>
      <c r="K39" s="59" t="s">
        <v>216</v>
      </c>
      <c r="L39" s="72" t="s">
        <v>217</v>
      </c>
      <c r="M39" s="59" t="s">
        <v>29</v>
      </c>
      <c r="N39" s="59" t="s">
        <v>29</v>
      </c>
      <c r="O39" s="67">
        <v>0</v>
      </c>
      <c r="P39" s="59" t="s">
        <v>29</v>
      </c>
      <c r="Q39" s="67">
        <v>0</v>
      </c>
      <c r="R39" s="67"/>
      <c r="S39" s="59" t="s">
        <v>30</v>
      </c>
      <c r="T39" s="59" t="s">
        <v>31</v>
      </c>
      <c r="U39" s="46"/>
    </row>
    <row r="40" spans="1:21" s="27" customFormat="1" ht="60" customHeight="1" x14ac:dyDescent="0.25">
      <c r="A40" s="64" t="str">
        <f>HYPERLINK("https://www.mpam.mp.br/images/ACT_N%C2%BA_015-2025_-_PCAM_5439e.pdf","TCT 15/2025 PGJ")</f>
        <v>TCT 15/2025 PGJ</v>
      </c>
      <c r="B40" s="59" t="s">
        <v>21</v>
      </c>
      <c r="C40" s="59" t="s">
        <v>162</v>
      </c>
      <c r="D40" s="59" t="s">
        <v>218</v>
      </c>
      <c r="E40" s="59" t="s">
        <v>219</v>
      </c>
      <c r="F40" s="71">
        <v>45904</v>
      </c>
      <c r="G40" s="59" t="s">
        <v>220</v>
      </c>
      <c r="H40" s="59" t="s">
        <v>76</v>
      </c>
      <c r="I40" s="59" t="s">
        <v>221</v>
      </c>
      <c r="J40" s="59" t="s">
        <v>222</v>
      </c>
      <c r="K40" s="59" t="s">
        <v>187</v>
      </c>
      <c r="L40" s="59" t="s">
        <v>223</v>
      </c>
      <c r="M40" s="59" t="s">
        <v>29</v>
      </c>
      <c r="N40" s="59" t="s">
        <v>29</v>
      </c>
      <c r="O40" s="67">
        <v>0</v>
      </c>
      <c r="P40" s="59" t="s">
        <v>29</v>
      </c>
      <c r="Q40" s="67">
        <v>0</v>
      </c>
      <c r="R40" s="67"/>
      <c r="S40" s="59" t="s">
        <v>30</v>
      </c>
      <c r="T40" s="59" t="s">
        <v>31</v>
      </c>
      <c r="U40" s="46"/>
    </row>
    <row r="41" spans="1:21" s="27" customFormat="1" ht="60" customHeight="1" x14ac:dyDescent="0.25">
      <c r="A41" s="64" t="str">
        <f>HYPERLINK("https://www.mpam.mp.br/images/ACT_N%C2%BA_011-2025_-_UNIASSELVI_5a45d.pdf","TCT 11/2025 PGJ")</f>
        <v>TCT 11/2025 PGJ</v>
      </c>
      <c r="B41" s="59" t="s">
        <v>21</v>
      </c>
      <c r="C41" s="59" t="s">
        <v>224</v>
      </c>
      <c r="D41" s="59" t="s">
        <v>225</v>
      </c>
      <c r="E41" s="59" t="s">
        <v>226</v>
      </c>
      <c r="F41" s="71">
        <v>45902</v>
      </c>
      <c r="G41" s="59" t="s">
        <v>227</v>
      </c>
      <c r="H41" s="59" t="s">
        <v>76</v>
      </c>
      <c r="I41" s="59" t="s">
        <v>228</v>
      </c>
      <c r="J41" s="59" t="s">
        <v>229</v>
      </c>
      <c r="K41" s="59" t="s">
        <v>187</v>
      </c>
      <c r="L41" s="59" t="s">
        <v>230</v>
      </c>
      <c r="M41" s="59" t="s">
        <v>29</v>
      </c>
      <c r="N41" s="59" t="s">
        <v>29</v>
      </c>
      <c r="O41" s="67">
        <v>0</v>
      </c>
      <c r="P41" s="59" t="s">
        <v>29</v>
      </c>
      <c r="Q41" s="67">
        <v>0</v>
      </c>
      <c r="R41" s="67"/>
      <c r="S41" s="59" t="s">
        <v>30</v>
      </c>
      <c r="T41" s="59" t="s">
        <v>31</v>
      </c>
      <c r="U41" s="46"/>
    </row>
    <row r="42" spans="1:21" s="27" customFormat="1" ht="60" customHeight="1" x14ac:dyDescent="0.25">
      <c r="A42" s="64" t="str">
        <f>HYPERLINK("https://www.mpam.mp.br/images/ACT_N%C2%BA_009-2025_-_MPPA_dcbc6.pdf","TCT 9/2025 PGJ")</f>
        <v>TCT 9/2025 PGJ</v>
      </c>
      <c r="B42" s="59" t="s">
        <v>21</v>
      </c>
      <c r="C42" s="59" t="s">
        <v>231</v>
      </c>
      <c r="D42" s="59" t="s">
        <v>232</v>
      </c>
      <c r="E42" s="59" t="s">
        <v>233</v>
      </c>
      <c r="F42" s="71">
        <v>45897</v>
      </c>
      <c r="G42" s="59" t="s">
        <v>234</v>
      </c>
      <c r="H42" s="59" t="s">
        <v>76</v>
      </c>
      <c r="I42" s="59" t="s">
        <v>235</v>
      </c>
      <c r="J42" s="59" t="s">
        <v>236</v>
      </c>
      <c r="K42" s="59" t="s">
        <v>237</v>
      </c>
      <c r="L42" s="59" t="s">
        <v>238</v>
      </c>
      <c r="M42" s="59" t="s">
        <v>29</v>
      </c>
      <c r="N42" s="59" t="s">
        <v>29</v>
      </c>
      <c r="O42" s="67">
        <v>0</v>
      </c>
      <c r="P42" s="59" t="s">
        <v>29</v>
      </c>
      <c r="Q42" s="67">
        <v>0</v>
      </c>
      <c r="R42" s="67"/>
      <c r="S42" s="59" t="s">
        <v>30</v>
      </c>
      <c r="T42" s="59" t="s">
        <v>31</v>
      </c>
      <c r="U42" s="46"/>
    </row>
    <row r="43" spans="1:21" s="27" customFormat="1" ht="60" customHeight="1" x14ac:dyDescent="0.25">
      <c r="A43" s="64" t="str">
        <f>HYPERLINK("https://www.mpam.mp.br/images/ACT_014-2025_-_MPSP_e2195.PDF","TCT 14/2025 PGJ")</f>
        <v>TCT 14/2025 PGJ</v>
      </c>
      <c r="B43" s="59" t="s">
        <v>21</v>
      </c>
      <c r="C43" s="59" t="s">
        <v>239</v>
      </c>
      <c r="D43" s="59" t="s">
        <v>240</v>
      </c>
      <c r="E43" s="59" t="s">
        <v>241</v>
      </c>
      <c r="F43" s="71">
        <v>45896</v>
      </c>
      <c r="G43" s="59" t="s">
        <v>242</v>
      </c>
      <c r="H43" s="59" t="s">
        <v>76</v>
      </c>
      <c r="I43" s="59" t="s">
        <v>243</v>
      </c>
      <c r="J43" s="59" t="s">
        <v>244</v>
      </c>
      <c r="K43" s="59" t="s">
        <v>245</v>
      </c>
      <c r="L43" s="59" t="s">
        <v>246</v>
      </c>
      <c r="M43" s="59" t="s">
        <v>29</v>
      </c>
      <c r="N43" s="59" t="s">
        <v>29</v>
      </c>
      <c r="O43" s="67">
        <v>0</v>
      </c>
      <c r="P43" s="59" t="s">
        <v>29</v>
      </c>
      <c r="Q43" s="67">
        <v>0</v>
      </c>
      <c r="R43" s="67"/>
      <c r="S43" s="59" t="s">
        <v>30</v>
      </c>
      <c r="T43" s="59" t="s">
        <v>31</v>
      </c>
      <c r="U43" s="46"/>
    </row>
    <row r="44" spans="1:21" s="27" customFormat="1" ht="60" customHeight="1" x14ac:dyDescent="0.25">
      <c r="A44" s="64" t="str">
        <f>HYPERLINK("https://www.mpam.mp.br/images/ACT_N%C2%BA_010-2025_-_SEJUSC_17559.pdf","TCT 10/2025 PGJ")</f>
        <v>TCT 10/2025 PGJ</v>
      </c>
      <c r="B44" s="59" t="s">
        <v>21</v>
      </c>
      <c r="C44" s="59" t="s">
        <v>162</v>
      </c>
      <c r="D44" s="59" t="s">
        <v>247</v>
      </c>
      <c r="E44" s="59" t="s">
        <v>248</v>
      </c>
      <c r="F44" s="71">
        <v>45874</v>
      </c>
      <c r="G44" s="59" t="s">
        <v>249</v>
      </c>
      <c r="H44" s="59" t="s">
        <v>76</v>
      </c>
      <c r="I44" s="59" t="s">
        <v>250</v>
      </c>
      <c r="J44" s="59" t="s">
        <v>251</v>
      </c>
      <c r="K44" s="59" t="s">
        <v>252</v>
      </c>
      <c r="L44" s="59"/>
      <c r="M44" s="59" t="s">
        <v>29</v>
      </c>
      <c r="N44" s="59" t="s">
        <v>29</v>
      </c>
      <c r="O44" s="67">
        <v>0</v>
      </c>
      <c r="P44" s="59" t="s">
        <v>29</v>
      </c>
      <c r="Q44" s="67">
        <v>0</v>
      </c>
      <c r="R44" s="67"/>
      <c r="S44" s="59" t="s">
        <v>30</v>
      </c>
      <c r="T44" s="59" t="s">
        <v>31</v>
      </c>
      <c r="U44" s="46"/>
    </row>
    <row r="45" spans="1:21" ht="60" customHeight="1" x14ac:dyDescent="0.25">
      <c r="A45" s="64" t="str">
        <f>HYPERLINK("https://www.mpam.mp.br/images/ACT_n%C2%BA_034-2025_-_TRE-AM_21807.pdf","TCT 34/2025 PGJ")</f>
        <v>TCT 34/2025 PGJ</v>
      </c>
      <c r="B45" s="59" t="s">
        <v>21</v>
      </c>
      <c r="C45" s="59" t="s">
        <v>253</v>
      </c>
      <c r="D45" s="59" t="s">
        <v>254</v>
      </c>
      <c r="E45" s="59" t="s">
        <v>255</v>
      </c>
      <c r="F45" s="71">
        <v>45867</v>
      </c>
      <c r="G45" s="59" t="s">
        <v>256</v>
      </c>
      <c r="H45" s="59" t="s">
        <v>25</v>
      </c>
      <c r="I45" s="59" t="s">
        <v>257</v>
      </c>
      <c r="J45" s="59" t="s">
        <v>258</v>
      </c>
      <c r="K45" s="59" t="s">
        <v>259</v>
      </c>
      <c r="L45" s="67"/>
      <c r="M45" s="59" t="s">
        <v>29</v>
      </c>
      <c r="N45" s="59" t="s">
        <v>29</v>
      </c>
      <c r="O45" s="67">
        <v>0</v>
      </c>
      <c r="P45" s="59" t="s">
        <v>29</v>
      </c>
      <c r="Q45" s="67">
        <v>0</v>
      </c>
      <c r="R45" s="67"/>
      <c r="S45" s="59" t="s">
        <v>30</v>
      </c>
      <c r="T45" s="59" t="s">
        <v>31</v>
      </c>
      <c r="U45" s="46"/>
    </row>
    <row r="46" spans="1:21" ht="60" customHeight="1" x14ac:dyDescent="0.25">
      <c r="A46" s="64" t="str">
        <f>HYPERLINK("https://www.mpam.mp.br/images/Termo_de_Ades%C3%A3o_ao_Programa_ENAP_Aqui_303c7.pdf","TCT 1/2025 PGJ")</f>
        <v>TCT 1/2025 PGJ</v>
      </c>
      <c r="B46" s="59" t="s">
        <v>32</v>
      </c>
      <c r="C46" s="59" t="s">
        <v>260</v>
      </c>
      <c r="D46" s="59" t="s">
        <v>254</v>
      </c>
      <c r="E46" s="59" t="s">
        <v>261</v>
      </c>
      <c r="F46" s="71">
        <v>45854</v>
      </c>
      <c r="G46" s="59" t="s">
        <v>262</v>
      </c>
      <c r="H46" s="59" t="s">
        <v>25</v>
      </c>
      <c r="I46" s="59" t="s">
        <v>263</v>
      </c>
      <c r="J46" s="59" t="s">
        <v>264</v>
      </c>
      <c r="K46" s="59" t="s">
        <v>187</v>
      </c>
      <c r="L46" s="67"/>
      <c r="M46" s="59" t="s">
        <v>29</v>
      </c>
      <c r="N46" s="59" t="s">
        <v>29</v>
      </c>
      <c r="O46" s="67">
        <v>0</v>
      </c>
      <c r="P46" s="59" t="s">
        <v>29</v>
      </c>
      <c r="Q46" s="67">
        <v>0</v>
      </c>
      <c r="R46" s="67"/>
      <c r="S46" s="59" t="s">
        <v>30</v>
      </c>
      <c r="T46" s="59" t="s">
        <v>31</v>
      </c>
      <c r="U46" s="46"/>
    </row>
    <row r="47" spans="1:21" ht="60" customHeight="1" x14ac:dyDescent="0.25">
      <c r="A47" s="64" t="str">
        <f>HYPERLINK("https://www.mpam.mp.br/images/ACT_N%C2%BA_011-2025_-_MPPB_a14dc.pdf","TCT 11/2025 PGJ")</f>
        <v>TCT 11/2025 PGJ</v>
      </c>
      <c r="B47" s="59" t="s">
        <v>21</v>
      </c>
      <c r="C47" s="59" t="s">
        <v>265</v>
      </c>
      <c r="D47" s="59" t="s">
        <v>266</v>
      </c>
      <c r="E47" s="59" t="s">
        <v>267</v>
      </c>
      <c r="F47" s="71">
        <v>45862</v>
      </c>
      <c r="G47" s="59" t="s">
        <v>268</v>
      </c>
      <c r="H47" s="59" t="s">
        <v>25</v>
      </c>
      <c r="I47" s="59" t="s">
        <v>269</v>
      </c>
      <c r="J47" s="59" t="s">
        <v>270</v>
      </c>
      <c r="K47" s="59" t="s">
        <v>271</v>
      </c>
      <c r="L47" s="67"/>
      <c r="M47" s="59" t="s">
        <v>29</v>
      </c>
      <c r="N47" s="59" t="s">
        <v>29</v>
      </c>
      <c r="O47" s="67">
        <v>0</v>
      </c>
      <c r="P47" s="59" t="s">
        <v>29</v>
      </c>
      <c r="Q47" s="67">
        <v>0</v>
      </c>
      <c r="R47" s="67"/>
      <c r="S47" s="59" t="s">
        <v>30</v>
      </c>
      <c r="T47" s="59" t="s">
        <v>31</v>
      </c>
      <c r="U47" s="46"/>
    </row>
    <row r="48" spans="1:21" ht="60" customHeight="1" x14ac:dyDescent="0.25">
      <c r="A48" s="64" t="str">
        <f>HYPERLINK("https://www.mpam.mp.br/images/ACT_sn_VOTUS-MPDFT_36a1e.pdf","TCT 0/2025 PGJ")</f>
        <v>TCT 0/2025 PGJ</v>
      </c>
      <c r="B48" s="59" t="s">
        <v>21</v>
      </c>
      <c r="C48" s="59" t="s">
        <v>272</v>
      </c>
      <c r="D48" s="59" t="s">
        <v>273</v>
      </c>
      <c r="E48" s="59" t="s">
        <v>274</v>
      </c>
      <c r="F48" s="71">
        <v>45802</v>
      </c>
      <c r="G48" s="59" t="s">
        <v>275</v>
      </c>
      <c r="H48" s="59" t="s">
        <v>25</v>
      </c>
      <c r="I48" s="59" t="s">
        <v>68</v>
      </c>
      <c r="J48" s="59" t="s">
        <v>69</v>
      </c>
      <c r="K48" s="67" t="s">
        <v>276</v>
      </c>
      <c r="L48" s="59"/>
      <c r="M48" s="59" t="s">
        <v>29</v>
      </c>
      <c r="N48" s="59" t="s">
        <v>29</v>
      </c>
      <c r="O48" s="67">
        <v>0</v>
      </c>
      <c r="P48" s="59" t="s">
        <v>29</v>
      </c>
      <c r="Q48" s="67">
        <v>0</v>
      </c>
      <c r="R48" s="67"/>
      <c r="S48" s="59" t="s">
        <v>30</v>
      </c>
      <c r="T48" s="59" t="s">
        <v>31</v>
      </c>
    </row>
    <row r="49" spans="1:262" ht="60" customHeight="1" x14ac:dyDescent="0.25">
      <c r="A49" s="64" t="str">
        <f>HYPERLINK("https://www.mpam.mp.br/images/Termo_de_Ades%C3%A3o_ao_EVG_n._028-2025_e43cf.pdf","Termo de Adesão ao Protocolo de Intenções 0743090")</f>
        <v>Termo de Adesão ao Protocolo de Intenções 0743090</v>
      </c>
      <c r="B49" s="59" t="s">
        <v>32</v>
      </c>
      <c r="C49" s="59" t="s">
        <v>277</v>
      </c>
      <c r="D49" s="59" t="s">
        <v>278</v>
      </c>
      <c r="E49" s="59" t="s">
        <v>279</v>
      </c>
      <c r="F49" s="66">
        <v>45257</v>
      </c>
      <c r="G49" s="59" t="s">
        <v>280</v>
      </c>
      <c r="H49" s="59" t="s">
        <v>25</v>
      </c>
      <c r="I49" s="59" t="s">
        <v>263</v>
      </c>
      <c r="J49" s="59" t="s">
        <v>264</v>
      </c>
      <c r="K49" s="59" t="s">
        <v>281</v>
      </c>
      <c r="L49" s="67" t="s">
        <v>246</v>
      </c>
      <c r="M49" s="59" t="s">
        <v>29</v>
      </c>
      <c r="N49" s="59" t="s">
        <v>29</v>
      </c>
      <c r="O49" s="67">
        <v>0</v>
      </c>
      <c r="P49" s="59" t="s">
        <v>29</v>
      </c>
      <c r="Q49" s="67">
        <v>0</v>
      </c>
      <c r="R49" s="67"/>
      <c r="S49" s="59" t="s">
        <v>30</v>
      </c>
      <c r="T49" s="59" t="s">
        <v>31</v>
      </c>
    </row>
    <row r="50" spans="1:262" ht="60" customHeight="1" x14ac:dyDescent="0.25">
      <c r="A50" s="64" t="str">
        <f>HYPERLINK("https://www.mpam.mp.br/images/ACT_N%C2%BA_004-2025_a89e3.pdf","TCT 4/2025 PGJ")</f>
        <v>TCT 4/2025 PGJ</v>
      </c>
      <c r="B50" s="59" t="s">
        <v>21</v>
      </c>
      <c r="C50" s="59" t="s">
        <v>282</v>
      </c>
      <c r="D50" s="59" t="s">
        <v>283</v>
      </c>
      <c r="E50" s="59" t="s">
        <v>284</v>
      </c>
      <c r="F50" s="66">
        <v>45825</v>
      </c>
      <c r="G50" s="59">
        <v>46555</v>
      </c>
      <c r="H50" s="59" t="s">
        <v>25</v>
      </c>
      <c r="I50" s="59" t="s">
        <v>285</v>
      </c>
      <c r="J50" s="59" t="s">
        <v>286</v>
      </c>
      <c r="K50" s="59" t="s">
        <v>287</v>
      </c>
      <c r="L50" s="67" t="s">
        <v>288</v>
      </c>
      <c r="M50" s="59" t="s">
        <v>29</v>
      </c>
      <c r="N50" s="59" t="s">
        <v>29</v>
      </c>
      <c r="O50" s="67">
        <v>0</v>
      </c>
      <c r="P50" s="59" t="s">
        <v>29</v>
      </c>
      <c r="Q50" s="67">
        <v>0</v>
      </c>
      <c r="R50" s="67"/>
      <c r="S50" s="59" t="s">
        <v>30</v>
      </c>
      <c r="T50" s="59" t="str">
        <f>HYPERLINK("https://www.mpam.mp.br/images-j5/DCCON/2026/TERMOS%20ADITIVOS%20-%20CONVENIOS/1o%20TA%20ao%20ACT%20004-2025.pdf","1º Termo Aditivo")</f>
        <v>1º Termo Aditivo</v>
      </c>
    </row>
    <row r="51" spans="1:262" ht="60" customHeight="1" x14ac:dyDescent="0.25">
      <c r="A51" s="64" t="str">
        <f>HYPERLINK("https://www.mpam.mp.br/images/ACT_S-N_-2025_-_MPDFT_52e17.pdf","TCT 0/2025 PGJ")</f>
        <v>TCT 0/2025 PGJ</v>
      </c>
      <c r="B51" s="59" t="s">
        <v>21</v>
      </c>
      <c r="C51" s="59" t="s">
        <v>289</v>
      </c>
      <c r="D51" s="59" t="s">
        <v>290</v>
      </c>
      <c r="E51" s="59" t="s">
        <v>291</v>
      </c>
      <c r="F51" s="66">
        <v>45817</v>
      </c>
      <c r="G51" s="59">
        <v>47643</v>
      </c>
      <c r="H51" s="59" t="s">
        <v>25</v>
      </c>
      <c r="I51" s="59" t="s">
        <v>68</v>
      </c>
      <c r="J51" s="59" t="s">
        <v>69</v>
      </c>
      <c r="K51" s="59" t="s">
        <v>292</v>
      </c>
      <c r="L51" s="67"/>
      <c r="M51" s="59" t="s">
        <v>29</v>
      </c>
      <c r="N51" s="59" t="s">
        <v>29</v>
      </c>
      <c r="O51" s="67">
        <v>0</v>
      </c>
      <c r="P51" s="59" t="s">
        <v>29</v>
      </c>
      <c r="Q51" s="67">
        <v>0</v>
      </c>
      <c r="R51" s="67"/>
      <c r="S51" s="59" t="s">
        <v>30</v>
      </c>
      <c r="T51" s="59" t="s">
        <v>31</v>
      </c>
    </row>
    <row r="52" spans="1:262" ht="60" customHeight="1" x14ac:dyDescent="0.25">
      <c r="A52" s="64" t="str">
        <f>HYPERLINK("https://www.mpam.mp.br/images/ACT_N%C2%BA_007-2025_-_MPRJ_20419.pdf","TCT 7/2025 PGJ")</f>
        <v>TCT 7/2025 PGJ</v>
      </c>
      <c r="B52" s="59" t="s">
        <v>21</v>
      </c>
      <c r="C52" s="59" t="s">
        <v>293</v>
      </c>
      <c r="D52" s="59" t="s">
        <v>294</v>
      </c>
      <c r="E52" s="59" t="s">
        <v>295</v>
      </c>
      <c r="F52" s="66">
        <v>45761</v>
      </c>
      <c r="G52" s="59">
        <v>46491</v>
      </c>
      <c r="H52" s="59" t="s">
        <v>25</v>
      </c>
      <c r="I52" s="59" t="s">
        <v>296</v>
      </c>
      <c r="J52" s="59" t="s">
        <v>297</v>
      </c>
      <c r="K52" s="59" t="s">
        <v>298</v>
      </c>
      <c r="L52" s="67" t="s">
        <v>246</v>
      </c>
      <c r="M52" s="59" t="s">
        <v>29</v>
      </c>
      <c r="N52" s="59" t="s">
        <v>29</v>
      </c>
      <c r="O52" s="67">
        <v>0</v>
      </c>
      <c r="P52" s="59" t="s">
        <v>29</v>
      </c>
      <c r="Q52" s="67">
        <v>0</v>
      </c>
      <c r="R52" s="67"/>
      <c r="S52" s="59" t="s">
        <v>30</v>
      </c>
      <c r="T52" s="59" t="s">
        <v>31</v>
      </c>
    </row>
    <row r="53" spans="1:262" ht="60" customHeight="1" x14ac:dyDescent="0.25">
      <c r="A53" s="64" t="str">
        <f>HYPERLINK("https://www.mpam.mp.br/images/PI_n%C2%BA_003-2025_-_CNMP_e19a3.pdf","PI 3/2025 PGJ")</f>
        <v>PI 3/2025 PGJ</v>
      </c>
      <c r="B53" s="59" t="s">
        <v>299</v>
      </c>
      <c r="C53" s="59" t="s">
        <v>300</v>
      </c>
      <c r="D53" s="59" t="s">
        <v>301</v>
      </c>
      <c r="E53" s="59" t="s">
        <v>302</v>
      </c>
      <c r="F53" s="66">
        <v>45797</v>
      </c>
      <c r="G53" s="66">
        <v>46851</v>
      </c>
      <c r="H53" s="59" t="s">
        <v>25</v>
      </c>
      <c r="I53" s="59" t="s">
        <v>36</v>
      </c>
      <c r="J53" s="59" t="s">
        <v>123</v>
      </c>
      <c r="K53" s="59" t="s">
        <v>124</v>
      </c>
      <c r="L53" s="67"/>
      <c r="M53" s="59" t="s">
        <v>29</v>
      </c>
      <c r="N53" s="59" t="s">
        <v>29</v>
      </c>
      <c r="O53" s="67">
        <v>0</v>
      </c>
      <c r="P53" s="59" t="s">
        <v>29</v>
      </c>
      <c r="Q53" s="67">
        <v>0</v>
      </c>
      <c r="R53" s="67"/>
      <c r="S53" s="59" t="s">
        <v>30</v>
      </c>
      <c r="T53" s="73" t="s">
        <v>31</v>
      </c>
    </row>
    <row r="54" spans="1:262" ht="60" customHeight="1" x14ac:dyDescent="0.25">
      <c r="A54" s="64" t="str">
        <f>HYPERLINK("https://www.mpam.mp.br/images/ACT_N%C2%BA_003-2025_-_MPAM_6c095.pdf","TCT 3/2025 PGJ")</f>
        <v>TCT 3/2025 PGJ</v>
      </c>
      <c r="B54" s="59" t="s">
        <v>21</v>
      </c>
      <c r="C54" s="59" t="s">
        <v>303</v>
      </c>
      <c r="D54" s="59" t="s">
        <v>301</v>
      </c>
      <c r="E54" s="59" t="s">
        <v>304</v>
      </c>
      <c r="F54" s="66">
        <v>45800</v>
      </c>
      <c r="G54" s="66">
        <v>47626</v>
      </c>
      <c r="H54" s="59" t="s">
        <v>25</v>
      </c>
      <c r="I54" s="59" t="s">
        <v>305</v>
      </c>
      <c r="J54" s="59" t="s">
        <v>306</v>
      </c>
      <c r="K54" s="59" t="s">
        <v>307</v>
      </c>
      <c r="L54" s="59"/>
      <c r="M54" s="59" t="s">
        <v>29</v>
      </c>
      <c r="N54" s="59" t="s">
        <v>29</v>
      </c>
      <c r="O54" s="67">
        <v>0</v>
      </c>
      <c r="P54" s="59" t="s">
        <v>29</v>
      </c>
      <c r="Q54" s="67">
        <v>0</v>
      </c>
      <c r="R54" s="67"/>
      <c r="S54" s="59" t="s">
        <v>30</v>
      </c>
      <c r="T54" s="59" t="s">
        <v>31</v>
      </c>
    </row>
    <row r="55" spans="1:262" ht="60" customHeight="1" x14ac:dyDescent="0.25">
      <c r="A55" s="64" t="str">
        <f>HYPERLINK("https://www.mpam.mp.br/images/Termo_de_Parceria_n._001-2025_-_SENAC_b0cee.pdf","TP 1/2025 PGJ")</f>
        <v>TP 1/2025 PGJ</v>
      </c>
      <c r="B55" s="59" t="s">
        <v>308</v>
      </c>
      <c r="C55" s="59" t="s">
        <v>309</v>
      </c>
      <c r="D55" s="59" t="s">
        <v>301</v>
      </c>
      <c r="E55" s="59" t="s">
        <v>310</v>
      </c>
      <c r="F55" s="66">
        <v>45789</v>
      </c>
      <c r="G55" s="66">
        <v>46519</v>
      </c>
      <c r="H55" s="59" t="s">
        <v>25</v>
      </c>
      <c r="I55" s="59" t="s">
        <v>311</v>
      </c>
      <c r="J55" s="59" t="s">
        <v>312</v>
      </c>
      <c r="K55" s="59" t="s">
        <v>313</v>
      </c>
      <c r="L55" s="67"/>
      <c r="M55" s="59" t="s">
        <v>29</v>
      </c>
      <c r="N55" s="59" t="s">
        <v>29</v>
      </c>
      <c r="O55" s="67">
        <v>0</v>
      </c>
      <c r="P55" s="59" t="s">
        <v>29</v>
      </c>
      <c r="Q55" s="67">
        <v>0</v>
      </c>
      <c r="R55" s="67"/>
      <c r="S55" s="59" t="s">
        <v>30</v>
      </c>
      <c r="T55" s="59" t="s">
        <v>31</v>
      </c>
    </row>
    <row r="56" spans="1:262" ht="60" customHeight="1" x14ac:dyDescent="0.25">
      <c r="A56" s="64" t="str">
        <f>HYPERLINK("https://www.mpam.mp.br/images/Termo_de_Ades%C3%A3o_ao_PEN_2020-2029_2ad3e.pdf","Termo de Adesão 2/2025 PGJ")</f>
        <v>Termo de Adesão 2/2025 PGJ</v>
      </c>
      <c r="B56" s="59" t="s">
        <v>32</v>
      </c>
      <c r="C56" s="59" t="s">
        <v>314</v>
      </c>
      <c r="D56" s="59" t="s">
        <v>315</v>
      </c>
      <c r="E56" s="59" t="s">
        <v>316</v>
      </c>
      <c r="F56" s="66">
        <v>45790</v>
      </c>
      <c r="G56" s="66" t="s">
        <v>317</v>
      </c>
      <c r="H56" s="59" t="s">
        <v>76</v>
      </c>
      <c r="I56" s="68" t="s">
        <v>36</v>
      </c>
      <c r="J56" s="59" t="s">
        <v>123</v>
      </c>
      <c r="K56" s="59" t="s">
        <v>318</v>
      </c>
      <c r="L56" s="67" t="s">
        <v>319</v>
      </c>
      <c r="M56" s="59" t="s">
        <v>29</v>
      </c>
      <c r="N56" s="59" t="s">
        <v>29</v>
      </c>
      <c r="O56" s="67">
        <v>0</v>
      </c>
      <c r="P56" s="59" t="s">
        <v>29</v>
      </c>
      <c r="Q56" s="67">
        <v>0</v>
      </c>
      <c r="R56" s="67"/>
      <c r="S56" s="59" t="s">
        <v>30</v>
      </c>
      <c r="T56" s="59" t="s">
        <v>31</v>
      </c>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row>
    <row r="57" spans="1:262" ht="60" customHeight="1" x14ac:dyDescent="0.25">
      <c r="A57" s="64" t="str">
        <f>HYPERLINK("https://www.mpam.mp.br/images/ACT_n%C2%BA_006-2025_-_MPTO_96abe.pdf","TCT 6/2025 PGJ")</f>
        <v>TCT 6/2025 PGJ</v>
      </c>
      <c r="B57" s="59" t="s">
        <v>21</v>
      </c>
      <c r="C57" s="59" t="s">
        <v>320</v>
      </c>
      <c r="D57" s="59" t="s">
        <v>315</v>
      </c>
      <c r="E57" s="59" t="s">
        <v>321</v>
      </c>
      <c r="F57" s="66">
        <v>45789</v>
      </c>
      <c r="G57" s="66" t="s">
        <v>322</v>
      </c>
      <c r="H57" s="59" t="s">
        <v>76</v>
      </c>
      <c r="I57" s="68" t="s">
        <v>323</v>
      </c>
      <c r="J57" s="59" t="s">
        <v>324</v>
      </c>
      <c r="K57" s="59" t="s">
        <v>325</v>
      </c>
      <c r="L57" s="67"/>
      <c r="M57" s="59" t="s">
        <v>29</v>
      </c>
      <c r="N57" s="59" t="s">
        <v>29</v>
      </c>
      <c r="O57" s="67">
        <v>0</v>
      </c>
      <c r="P57" s="59" t="s">
        <v>29</v>
      </c>
      <c r="Q57" s="67">
        <v>0</v>
      </c>
      <c r="R57" s="67"/>
      <c r="S57" s="59" t="s">
        <v>30</v>
      </c>
      <c r="T57" s="59" t="s">
        <v>31</v>
      </c>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row>
    <row r="58" spans="1:262" ht="60" customHeight="1" x14ac:dyDescent="0.25">
      <c r="A58" s="64" t="str">
        <f>HYPERLINK("https://www.mpam.mp.br/images/ACT_n%C2%BA_002-2025_-_UEA_73f5e.pdf","TCT 2/2025 PGJ")</f>
        <v>TCT 2/2025 PGJ</v>
      </c>
      <c r="B58" s="59" t="s">
        <v>21</v>
      </c>
      <c r="C58" s="59" t="s">
        <v>326</v>
      </c>
      <c r="D58" s="59" t="s">
        <v>327</v>
      </c>
      <c r="E58" s="59" t="s">
        <v>328</v>
      </c>
      <c r="F58" s="66">
        <v>45786</v>
      </c>
      <c r="G58" s="66" t="s">
        <v>329</v>
      </c>
      <c r="H58" s="59" t="s">
        <v>76</v>
      </c>
      <c r="I58" s="68" t="s">
        <v>330</v>
      </c>
      <c r="J58" s="59" t="s">
        <v>331</v>
      </c>
      <c r="K58" s="59" t="s">
        <v>332</v>
      </c>
      <c r="L58" s="74" t="s">
        <v>333</v>
      </c>
      <c r="M58" s="59" t="s">
        <v>29</v>
      </c>
      <c r="N58" s="59" t="s">
        <v>29</v>
      </c>
      <c r="O58" s="67">
        <v>0</v>
      </c>
      <c r="P58" s="59" t="s">
        <v>29</v>
      </c>
      <c r="Q58" s="67">
        <v>0</v>
      </c>
      <c r="R58" s="67"/>
      <c r="S58" s="59" t="s">
        <v>30</v>
      </c>
      <c r="T58" s="59" t="s">
        <v>31</v>
      </c>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row>
    <row r="59" spans="1:262" s="27" customFormat="1" ht="60" customHeight="1" x14ac:dyDescent="0.25">
      <c r="A59" s="64" t="str">
        <f>HYPERLINK("https://www.mpam.mp.br/images/Ades%C3%A3o_ao_Acordo_Institucional_n%C2%BA_06-2025_a82e5.pdf","Termo de Adesão 1/2025 PGJ")</f>
        <v>Termo de Adesão 1/2025 PGJ</v>
      </c>
      <c r="B59" s="59" t="s">
        <v>32</v>
      </c>
      <c r="C59" s="59" t="s">
        <v>334</v>
      </c>
      <c r="D59" s="59" t="s">
        <v>335</v>
      </c>
      <c r="E59" s="59" t="s">
        <v>336</v>
      </c>
      <c r="F59" s="66">
        <v>45771</v>
      </c>
      <c r="G59" s="59" t="s">
        <v>337</v>
      </c>
      <c r="H59" s="59" t="s">
        <v>25</v>
      </c>
      <c r="I59" s="59" t="s">
        <v>36</v>
      </c>
      <c r="J59" s="59" t="s">
        <v>123</v>
      </c>
      <c r="K59" s="59" t="s">
        <v>318</v>
      </c>
      <c r="L59" s="59"/>
      <c r="M59" s="59" t="s">
        <v>29</v>
      </c>
      <c r="N59" s="59" t="s">
        <v>29</v>
      </c>
      <c r="O59" s="67">
        <v>0</v>
      </c>
      <c r="P59" s="59" t="s">
        <v>29</v>
      </c>
      <c r="Q59" s="67">
        <v>0</v>
      </c>
      <c r="R59" s="67"/>
      <c r="S59" s="59" t="s">
        <v>30</v>
      </c>
      <c r="T59" s="59" t="s">
        <v>31</v>
      </c>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row>
    <row r="60" spans="1:262" s="27" customFormat="1" ht="60" customHeight="1" x14ac:dyDescent="0.25">
      <c r="A60" s="64" t="str">
        <f>HYPERLINK("https://www.mpam.mp.br/images/PI_n%C2%BA_001-2025_-_CNMP_13aba.pdf","PI 1/2025 PGJ")</f>
        <v>PI 1/2025 PGJ</v>
      </c>
      <c r="B60" s="59" t="s">
        <v>299</v>
      </c>
      <c r="C60" s="59" t="s">
        <v>338</v>
      </c>
      <c r="D60" s="59" t="s">
        <v>339</v>
      </c>
      <c r="E60" s="59" t="s">
        <v>340</v>
      </c>
      <c r="F60" s="66">
        <v>45705</v>
      </c>
      <c r="G60" s="59" t="s">
        <v>341</v>
      </c>
      <c r="H60" s="59" t="s">
        <v>25</v>
      </c>
      <c r="I60" s="59" t="s">
        <v>36</v>
      </c>
      <c r="J60" s="59" t="s">
        <v>123</v>
      </c>
      <c r="K60" s="59" t="s">
        <v>342</v>
      </c>
      <c r="L60" s="67"/>
      <c r="M60" s="59" t="s">
        <v>29</v>
      </c>
      <c r="N60" s="59" t="s">
        <v>29</v>
      </c>
      <c r="O60" s="67">
        <v>0</v>
      </c>
      <c r="P60" s="59" t="s">
        <v>29</v>
      </c>
      <c r="Q60" s="67">
        <v>0</v>
      </c>
      <c r="R60" s="67"/>
      <c r="S60" s="59" t="s">
        <v>30</v>
      </c>
      <c r="T60" s="59" t="s">
        <v>31</v>
      </c>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row>
    <row r="61" spans="1:262" s="45" customFormat="1" ht="60" customHeight="1" x14ac:dyDescent="0.25">
      <c r="A61" s="64" t="str">
        <f>HYPERLINK("https://www.mpam.mp.br/images/PI_n.%C2%BA_002-2025_-_CNMP_47848.pdf","PI 2/2025 PGJ")</f>
        <v>PI 2/2025 PGJ</v>
      </c>
      <c r="B61" s="59" t="s">
        <v>299</v>
      </c>
      <c r="C61" s="59" t="s">
        <v>343</v>
      </c>
      <c r="D61" s="59" t="s">
        <v>339</v>
      </c>
      <c r="E61" s="59" t="s">
        <v>344</v>
      </c>
      <c r="F61" s="66">
        <v>45705</v>
      </c>
      <c r="G61" s="59" t="s">
        <v>341</v>
      </c>
      <c r="H61" s="59" t="s">
        <v>25</v>
      </c>
      <c r="I61" s="59" t="s">
        <v>36</v>
      </c>
      <c r="J61" s="59" t="s">
        <v>123</v>
      </c>
      <c r="K61" s="59" t="s">
        <v>342</v>
      </c>
      <c r="L61" s="67"/>
      <c r="M61" s="59" t="s">
        <v>29</v>
      </c>
      <c r="N61" s="59" t="s">
        <v>29</v>
      </c>
      <c r="O61" s="67">
        <v>0</v>
      </c>
      <c r="P61" s="59" t="s">
        <v>29</v>
      </c>
      <c r="Q61" s="67">
        <v>0</v>
      </c>
      <c r="R61" s="67"/>
      <c r="S61" s="59" t="s">
        <v>30</v>
      </c>
      <c r="T61" s="59" t="s">
        <v>31</v>
      </c>
      <c r="U61" s="75"/>
      <c r="V61" s="75"/>
      <c r="W61" s="75"/>
      <c r="X61" s="75"/>
      <c r="Y61" s="75"/>
      <c r="Z61" s="75"/>
      <c r="AA61" s="75"/>
      <c r="AB61" s="75"/>
      <c r="AC61" s="75"/>
      <c r="AD61" s="75"/>
      <c r="AE61" s="75"/>
      <c r="AF61" s="75"/>
      <c r="AG61" s="75"/>
      <c r="AH61" s="75"/>
      <c r="AI61" s="75"/>
      <c r="AJ61" s="75"/>
      <c r="AK61" s="75"/>
      <c r="AL61" s="75"/>
      <c r="AM61" s="75"/>
      <c r="AN61" s="75"/>
      <c r="AO61" s="75"/>
      <c r="AP61" s="75"/>
      <c r="AQ61" s="75"/>
      <c r="AR61" s="75"/>
      <c r="AS61" s="75"/>
      <c r="AT61" s="75"/>
      <c r="AU61" s="75"/>
      <c r="AV61" s="75"/>
      <c r="AW61" s="75"/>
      <c r="AX61" s="75"/>
      <c r="AY61" s="75"/>
      <c r="AZ61" s="75"/>
      <c r="BA61" s="75"/>
      <c r="BB61" s="75"/>
      <c r="BC61" s="75"/>
      <c r="BD61" s="75"/>
      <c r="BE61" s="75"/>
      <c r="BF61" s="75"/>
      <c r="BG61" s="75"/>
      <c r="BH61" s="75"/>
      <c r="BI61" s="75"/>
      <c r="BJ61" s="75"/>
      <c r="BK61" s="75"/>
      <c r="BL61" s="75"/>
      <c r="BM61" s="75"/>
      <c r="BN61" s="75"/>
      <c r="BO61" s="75"/>
      <c r="BP61" s="75"/>
      <c r="BQ61" s="75"/>
      <c r="BR61" s="75"/>
      <c r="BS61" s="75"/>
      <c r="BT61" s="75"/>
      <c r="BU61" s="75"/>
      <c r="BV61" s="75"/>
      <c r="BW61" s="75"/>
      <c r="BX61" s="75"/>
      <c r="BY61" s="75"/>
      <c r="BZ61" s="75"/>
      <c r="CA61" s="75"/>
      <c r="CB61" s="75"/>
      <c r="CC61" s="75"/>
      <c r="CD61" s="75"/>
      <c r="CE61" s="75"/>
      <c r="CF61" s="75"/>
      <c r="CG61" s="75"/>
      <c r="CH61" s="75"/>
      <c r="CI61" s="75"/>
      <c r="CJ61" s="75"/>
      <c r="CK61" s="75"/>
      <c r="CL61" s="75"/>
      <c r="CM61" s="75"/>
      <c r="CN61" s="75"/>
      <c r="CO61" s="75"/>
      <c r="CP61" s="75"/>
      <c r="CQ61" s="75"/>
      <c r="CR61" s="75"/>
      <c r="CS61" s="75"/>
      <c r="CT61" s="75"/>
      <c r="CU61" s="75"/>
      <c r="CV61" s="75"/>
      <c r="CW61" s="75"/>
      <c r="CX61" s="75"/>
      <c r="CY61" s="75"/>
      <c r="CZ61" s="75"/>
      <c r="DA61" s="75"/>
      <c r="DB61" s="75"/>
      <c r="DC61" s="75"/>
      <c r="DD61" s="75"/>
      <c r="DE61" s="75"/>
      <c r="DF61" s="75"/>
      <c r="DG61" s="75"/>
      <c r="DH61" s="75"/>
      <c r="DI61" s="75"/>
      <c r="DJ61" s="75"/>
      <c r="DK61" s="75"/>
      <c r="DL61" s="75"/>
      <c r="DM61" s="75"/>
      <c r="DN61" s="75"/>
      <c r="DO61" s="75"/>
      <c r="DP61" s="75"/>
      <c r="DQ61" s="75"/>
      <c r="DR61" s="75"/>
      <c r="DS61" s="75"/>
      <c r="DT61" s="75"/>
      <c r="DU61" s="75"/>
      <c r="DV61" s="75"/>
      <c r="DW61" s="75"/>
      <c r="DX61" s="75"/>
      <c r="DY61" s="75"/>
      <c r="DZ61" s="75"/>
      <c r="EA61" s="75"/>
      <c r="EB61" s="75"/>
      <c r="EC61" s="75"/>
      <c r="ED61" s="75"/>
      <c r="EE61" s="75"/>
      <c r="EF61" s="75"/>
      <c r="EG61" s="75"/>
      <c r="EH61" s="75"/>
      <c r="EI61" s="75"/>
      <c r="EJ61" s="75"/>
      <c r="EK61" s="75"/>
      <c r="EL61" s="75"/>
      <c r="EM61" s="75"/>
      <c r="EN61" s="75"/>
      <c r="EO61" s="75"/>
      <c r="EP61" s="75"/>
      <c r="EQ61" s="75"/>
      <c r="ER61" s="75"/>
      <c r="ES61" s="75"/>
      <c r="ET61" s="75"/>
      <c r="EU61" s="75"/>
      <c r="EV61" s="75"/>
      <c r="EW61" s="75"/>
      <c r="EX61" s="75"/>
      <c r="EY61" s="75"/>
      <c r="EZ61" s="75"/>
      <c r="FA61" s="75"/>
      <c r="FB61" s="75"/>
      <c r="FC61" s="75"/>
      <c r="FD61" s="75"/>
      <c r="FE61" s="75"/>
      <c r="FF61" s="75"/>
      <c r="FG61" s="75"/>
      <c r="FH61" s="75"/>
      <c r="FI61" s="75"/>
      <c r="FJ61" s="75"/>
      <c r="FK61" s="75"/>
      <c r="FL61" s="75"/>
      <c r="FM61" s="75"/>
      <c r="FN61" s="75"/>
      <c r="FO61" s="75"/>
      <c r="FP61" s="75"/>
      <c r="FQ61" s="75"/>
      <c r="FR61" s="75"/>
      <c r="FS61" s="75"/>
      <c r="FT61" s="75"/>
      <c r="FU61" s="75"/>
      <c r="FV61" s="75"/>
      <c r="FW61" s="75"/>
      <c r="FX61" s="75"/>
      <c r="FY61" s="75"/>
      <c r="FZ61" s="75"/>
      <c r="GA61" s="75"/>
      <c r="GB61" s="75"/>
      <c r="GC61" s="75"/>
      <c r="GD61" s="75"/>
      <c r="GE61" s="75"/>
      <c r="GF61" s="75"/>
      <c r="GG61" s="75"/>
      <c r="GH61" s="75"/>
      <c r="GI61" s="75"/>
      <c r="GJ61" s="75"/>
      <c r="GK61" s="75"/>
      <c r="GL61" s="75"/>
      <c r="GM61" s="75"/>
      <c r="GN61" s="75"/>
      <c r="GO61" s="75"/>
      <c r="GP61" s="75"/>
      <c r="GQ61" s="75"/>
      <c r="GR61" s="75"/>
      <c r="GS61" s="75"/>
      <c r="GT61" s="75"/>
      <c r="GU61" s="75"/>
      <c r="GV61" s="75"/>
      <c r="GW61" s="75"/>
      <c r="GX61" s="75"/>
      <c r="GY61" s="75"/>
      <c r="GZ61" s="75"/>
      <c r="HA61" s="75"/>
      <c r="HB61" s="75"/>
      <c r="HC61" s="75"/>
      <c r="HD61" s="75"/>
      <c r="HE61" s="75"/>
      <c r="HF61" s="75"/>
      <c r="HG61" s="75"/>
      <c r="HH61" s="75"/>
      <c r="HI61" s="75"/>
      <c r="HJ61" s="75"/>
      <c r="HK61" s="75"/>
      <c r="HL61" s="75"/>
      <c r="HM61" s="75"/>
      <c r="HN61" s="75"/>
      <c r="HO61" s="75"/>
      <c r="HP61" s="75"/>
      <c r="HQ61" s="75"/>
      <c r="HR61" s="75"/>
      <c r="HS61" s="75"/>
      <c r="HT61" s="75"/>
      <c r="HU61" s="75"/>
      <c r="HV61" s="75"/>
      <c r="HW61" s="75"/>
      <c r="HX61" s="75"/>
      <c r="HY61" s="75"/>
      <c r="HZ61" s="75"/>
      <c r="IA61" s="75"/>
      <c r="IB61" s="75"/>
      <c r="IC61" s="75"/>
      <c r="ID61" s="75"/>
      <c r="IE61" s="75"/>
      <c r="IF61" s="75"/>
      <c r="IG61" s="75"/>
      <c r="IH61" s="75"/>
      <c r="II61" s="75"/>
      <c r="IJ61" s="75"/>
      <c r="IK61" s="75"/>
      <c r="IL61" s="75"/>
      <c r="IM61" s="75"/>
      <c r="IN61" s="75"/>
      <c r="IO61" s="75"/>
      <c r="IP61" s="75"/>
      <c r="IQ61" s="75"/>
      <c r="IR61" s="75"/>
      <c r="IS61" s="75"/>
      <c r="IT61" s="75"/>
      <c r="IU61" s="75"/>
      <c r="IV61" s="75"/>
      <c r="IW61" s="75"/>
      <c r="IX61" s="75"/>
      <c r="IY61" s="75"/>
      <c r="IZ61" s="75"/>
      <c r="JA61" s="75"/>
      <c r="JB61" s="75"/>
    </row>
    <row r="62" spans="1:262" s="45" customFormat="1" ht="60" customHeight="1" x14ac:dyDescent="0.25">
      <c r="A62" s="64" t="str">
        <f>HYPERLINK("https://www.mpam.mp.br/images/ACT_N%C2%BA_01-2025_-_MPAM_f5324.pdf","TCT 1/2025 PGJ")</f>
        <v>TCT 1/2025 PGJ</v>
      </c>
      <c r="B62" s="59" t="s">
        <v>21</v>
      </c>
      <c r="C62" s="59" t="s">
        <v>345</v>
      </c>
      <c r="D62" s="59" t="s">
        <v>346</v>
      </c>
      <c r="E62" s="59" t="s">
        <v>347</v>
      </c>
      <c r="F62" s="66">
        <v>45685</v>
      </c>
      <c r="G62" s="59" t="s">
        <v>348</v>
      </c>
      <c r="H62" s="59" t="s">
        <v>25</v>
      </c>
      <c r="I62" s="59" t="s">
        <v>349</v>
      </c>
      <c r="J62" s="59" t="s">
        <v>350</v>
      </c>
      <c r="K62" s="59" t="s">
        <v>351</v>
      </c>
      <c r="L62" s="67" t="s">
        <v>352</v>
      </c>
      <c r="M62" s="59" t="s">
        <v>29</v>
      </c>
      <c r="N62" s="59" t="s">
        <v>29</v>
      </c>
      <c r="O62" s="67">
        <v>0</v>
      </c>
      <c r="P62" s="59" t="s">
        <v>29</v>
      </c>
      <c r="Q62" s="67">
        <v>0</v>
      </c>
      <c r="R62" s="67"/>
      <c r="S62" s="59" t="s">
        <v>30</v>
      </c>
      <c r="T62" s="59" t="s">
        <v>31</v>
      </c>
      <c r="U62" s="75"/>
      <c r="V62" s="75"/>
      <c r="W62" s="75"/>
      <c r="X62" s="75"/>
      <c r="Y62" s="75"/>
      <c r="Z62" s="75"/>
      <c r="AA62" s="75"/>
      <c r="AB62" s="75"/>
      <c r="AC62" s="75"/>
      <c r="AD62" s="75"/>
      <c r="AE62" s="75"/>
      <c r="AF62" s="75"/>
      <c r="AG62" s="75"/>
      <c r="AH62" s="75"/>
      <c r="AI62" s="75"/>
      <c r="AJ62" s="75"/>
      <c r="AK62" s="75"/>
      <c r="AL62" s="75"/>
      <c r="AM62" s="75"/>
      <c r="AN62" s="75"/>
      <c r="AO62" s="75"/>
      <c r="AP62" s="75"/>
      <c r="AQ62" s="75"/>
      <c r="AR62" s="75"/>
      <c r="AS62" s="75"/>
      <c r="AT62" s="75"/>
      <c r="AU62" s="75"/>
      <c r="AV62" s="75"/>
      <c r="AW62" s="75"/>
      <c r="AX62" s="75"/>
      <c r="AY62" s="75"/>
      <c r="AZ62" s="75"/>
      <c r="BA62" s="75"/>
      <c r="BB62" s="75"/>
      <c r="BC62" s="75"/>
      <c r="BD62" s="75"/>
      <c r="BE62" s="75"/>
      <c r="BF62" s="75"/>
      <c r="BG62" s="75"/>
      <c r="BH62" s="75"/>
      <c r="BI62" s="75"/>
      <c r="BJ62" s="75"/>
      <c r="BK62" s="75"/>
      <c r="BL62" s="75"/>
      <c r="BM62" s="75"/>
      <c r="BN62" s="75"/>
      <c r="BO62" s="75"/>
      <c r="BP62" s="75"/>
      <c r="BQ62" s="75"/>
      <c r="BR62" s="75"/>
      <c r="BS62" s="75"/>
      <c r="BT62" s="75"/>
      <c r="BU62" s="75"/>
      <c r="BV62" s="75"/>
      <c r="BW62" s="75"/>
      <c r="BX62" s="75"/>
      <c r="BY62" s="75"/>
      <c r="BZ62" s="75"/>
      <c r="CA62" s="75"/>
      <c r="CB62" s="75"/>
      <c r="CC62" s="75"/>
      <c r="CD62" s="75"/>
      <c r="CE62" s="75"/>
      <c r="CF62" s="75"/>
      <c r="CG62" s="75"/>
      <c r="CH62" s="75"/>
      <c r="CI62" s="75"/>
      <c r="CJ62" s="75"/>
      <c r="CK62" s="75"/>
      <c r="CL62" s="75"/>
      <c r="CM62" s="75"/>
      <c r="CN62" s="75"/>
      <c r="CO62" s="75"/>
      <c r="CP62" s="75"/>
      <c r="CQ62" s="75"/>
      <c r="CR62" s="75"/>
      <c r="CS62" s="75"/>
      <c r="CT62" s="75"/>
      <c r="CU62" s="75"/>
      <c r="CV62" s="75"/>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row>
    <row r="63" spans="1:262" s="27" customFormat="1" ht="60" customHeight="1" x14ac:dyDescent="0.25">
      <c r="A63" s="64" t="str">
        <f>HYPERLINK("https://www.mpam.mp.br/images/Contrato_de_Licenciamento_ChatTCU_d6fdb.pdf","TC 1/2024 PGJ")</f>
        <v>TC 1/2024 PGJ</v>
      </c>
      <c r="B63" s="59" t="s">
        <v>353</v>
      </c>
      <c r="C63" s="59" t="s">
        <v>354</v>
      </c>
      <c r="D63" s="59" t="s">
        <v>355</v>
      </c>
      <c r="E63" s="59" t="s">
        <v>356</v>
      </c>
      <c r="F63" s="66">
        <v>45643</v>
      </c>
      <c r="G63" s="59">
        <v>56600</v>
      </c>
      <c r="H63" s="59" t="s">
        <v>25</v>
      </c>
      <c r="I63" s="59" t="s">
        <v>357</v>
      </c>
      <c r="J63" s="59" t="s">
        <v>358</v>
      </c>
      <c r="K63" s="59" t="s">
        <v>359</v>
      </c>
      <c r="L63" s="61" t="s">
        <v>360</v>
      </c>
      <c r="M63" s="59" t="s">
        <v>29</v>
      </c>
      <c r="N63" s="59" t="s">
        <v>29</v>
      </c>
      <c r="O63" s="67">
        <v>0</v>
      </c>
      <c r="P63" s="59" t="s">
        <v>29</v>
      </c>
      <c r="Q63" s="67">
        <v>0</v>
      </c>
      <c r="R63" s="67"/>
      <c r="S63" s="59" t="s">
        <v>30</v>
      </c>
      <c r="T63" s="59" t="s">
        <v>31</v>
      </c>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row>
    <row r="64" spans="1:262" s="27" customFormat="1" ht="60" customHeight="1" x14ac:dyDescent="0.25">
      <c r="A64" s="64" t="str">
        <f>HYPERLINK("https://www.mpam.mp.br/images/ACT_N%C2%BA_073-2024_-_TJAM_33da0.pdf","TCT 73/2024 PGJ")</f>
        <v>TCT 73/2024 PGJ</v>
      </c>
      <c r="B64" s="59" t="s">
        <v>21</v>
      </c>
      <c r="C64" s="59" t="s">
        <v>361</v>
      </c>
      <c r="D64" s="59" t="s">
        <v>355</v>
      </c>
      <c r="E64" s="59" t="s">
        <v>362</v>
      </c>
      <c r="F64" s="66">
        <v>45631</v>
      </c>
      <c r="G64" s="59">
        <v>47457</v>
      </c>
      <c r="H64" s="59" t="s">
        <v>25</v>
      </c>
      <c r="I64" s="59" t="s">
        <v>166</v>
      </c>
      <c r="J64" s="59" t="s">
        <v>167</v>
      </c>
      <c r="K64" s="59" t="s">
        <v>363</v>
      </c>
      <c r="L64" s="61" t="s">
        <v>364</v>
      </c>
      <c r="M64" s="59" t="s">
        <v>29</v>
      </c>
      <c r="N64" s="59" t="s">
        <v>29</v>
      </c>
      <c r="O64" s="67">
        <v>0</v>
      </c>
      <c r="P64" s="59" t="s">
        <v>29</v>
      </c>
      <c r="Q64" s="67">
        <v>0</v>
      </c>
      <c r="R64" s="67"/>
      <c r="S64" s="59" t="s">
        <v>30</v>
      </c>
      <c r="T64" s="59" t="s">
        <v>31</v>
      </c>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row>
    <row r="65" spans="1:262" ht="60" customHeight="1" x14ac:dyDescent="0.25">
      <c r="A65" s="76" t="str">
        <f>HYPERLINK("https://www.mpam.mp.br/images/Termo_de_Ades%C3%A3o_ao_ACT_n%C2%BA_011-2024_-_CNMP_ea282.pdf","TCT 11/2024 PGJ")</f>
        <v>TCT 11/2024 PGJ</v>
      </c>
      <c r="B65" s="59" t="s">
        <v>21</v>
      </c>
      <c r="C65" s="59" t="s">
        <v>365</v>
      </c>
      <c r="D65" s="59" t="s">
        <v>366</v>
      </c>
      <c r="E65" s="60" t="s">
        <v>367</v>
      </c>
      <c r="F65" s="66">
        <v>45622</v>
      </c>
      <c r="G65" s="59">
        <v>46352</v>
      </c>
      <c r="H65" s="59" t="s">
        <v>25</v>
      </c>
      <c r="I65" s="59" t="s">
        <v>36</v>
      </c>
      <c r="J65" s="59" t="s">
        <v>123</v>
      </c>
      <c r="K65" s="59" t="s">
        <v>318</v>
      </c>
      <c r="L65" s="59" t="s">
        <v>368</v>
      </c>
      <c r="M65" s="59" t="s">
        <v>29</v>
      </c>
      <c r="N65" s="59" t="s">
        <v>29</v>
      </c>
      <c r="O65" s="69">
        <v>0</v>
      </c>
      <c r="P65" s="59" t="s">
        <v>29</v>
      </c>
      <c r="Q65" s="69">
        <v>0</v>
      </c>
      <c r="R65" s="69"/>
      <c r="S65" s="59" t="s">
        <v>30</v>
      </c>
      <c r="T65" s="59" t="s">
        <v>31</v>
      </c>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row>
    <row r="66" spans="1:262" ht="60" customHeight="1" x14ac:dyDescent="0.25">
      <c r="A66" s="76" t="str">
        <f>HYPERLINK("https://www.mpam.mp.br/images/TCU_N%C2%BA_001-2024_-_SEMIG_f68b1.pdf","CCS 1/2024 PGJ")</f>
        <v>CCS 1/2024 PGJ</v>
      </c>
      <c r="B66" s="59" t="s">
        <v>369</v>
      </c>
      <c r="C66" s="59" t="s">
        <v>370</v>
      </c>
      <c r="D66" s="59" t="s">
        <v>371</v>
      </c>
      <c r="E66" s="60" t="s">
        <v>372</v>
      </c>
      <c r="F66" s="66">
        <v>45621</v>
      </c>
      <c r="G66" s="66">
        <v>47447</v>
      </c>
      <c r="H66" s="59" t="s">
        <v>25</v>
      </c>
      <c r="I66" s="59" t="s">
        <v>373</v>
      </c>
      <c r="J66" s="59" t="s">
        <v>374</v>
      </c>
      <c r="K66" s="59" t="s">
        <v>375</v>
      </c>
      <c r="L66" s="59" t="s">
        <v>376</v>
      </c>
      <c r="M66" s="59" t="s">
        <v>29</v>
      </c>
      <c r="N66" s="59" t="s">
        <v>29</v>
      </c>
      <c r="O66" s="67">
        <v>0</v>
      </c>
      <c r="P66" s="59" t="s">
        <v>29</v>
      </c>
      <c r="Q66" s="67">
        <v>0</v>
      </c>
      <c r="R66" s="67"/>
      <c r="S66" s="59" t="s">
        <v>30</v>
      </c>
      <c r="T66" s="59" t="s">
        <v>31</v>
      </c>
    </row>
    <row r="67" spans="1:262" ht="60" customHeight="1" x14ac:dyDescent="0.25">
      <c r="A67" s="124" t="str">
        <f>HYPERLINK("https://www.mpam.mp.br/images/ACT_N%C2%BA_065-2024_-_TJAM-MPAM_65556.pdf","TCT 65/2024 PGJ")</f>
        <v>TCT 65/2024 PGJ</v>
      </c>
      <c r="B67" s="110" t="s">
        <v>21</v>
      </c>
      <c r="C67" s="110" t="s">
        <v>377</v>
      </c>
      <c r="D67" s="110" t="s">
        <v>378</v>
      </c>
      <c r="E67" s="114" t="s">
        <v>379</v>
      </c>
      <c r="F67" s="123">
        <v>45595</v>
      </c>
      <c r="G67" s="123">
        <v>47057</v>
      </c>
      <c r="H67" s="110" t="s">
        <v>25</v>
      </c>
      <c r="I67" s="110" t="s">
        <v>166</v>
      </c>
      <c r="J67" s="110" t="s">
        <v>167</v>
      </c>
      <c r="K67" s="110" t="s">
        <v>363</v>
      </c>
      <c r="L67" s="110" t="s">
        <v>376</v>
      </c>
      <c r="M67" s="110" t="s">
        <v>29</v>
      </c>
      <c r="N67" s="110" t="s">
        <v>29</v>
      </c>
      <c r="O67" s="122">
        <v>0</v>
      </c>
      <c r="P67" s="122" t="s">
        <v>29</v>
      </c>
      <c r="Q67" s="122">
        <v>0</v>
      </c>
      <c r="R67" s="122" t="s">
        <v>29</v>
      </c>
      <c r="S67" s="110" t="s">
        <v>30</v>
      </c>
      <c r="T67" s="59" t="str">
        <f>HYPERLINK("https://www.mpam.mp.br/images/1%C2%BA_TA_ao_ACT_n%C2%BA_065-2024_-_TJAM_92ea7.pdf","1º Termo Aditivo")</f>
        <v>1º Termo Aditivo</v>
      </c>
    </row>
    <row r="68" spans="1:262" ht="60" customHeight="1" x14ac:dyDescent="0.25">
      <c r="A68" s="124"/>
      <c r="B68" s="110"/>
      <c r="C68" s="110"/>
      <c r="D68" s="110"/>
      <c r="E68" s="114"/>
      <c r="F68" s="123"/>
      <c r="G68" s="123"/>
      <c r="H68" s="110"/>
      <c r="I68" s="110"/>
      <c r="J68" s="110"/>
      <c r="K68" s="110"/>
      <c r="L68" s="110"/>
      <c r="M68" s="110"/>
      <c r="N68" s="110"/>
      <c r="O68" s="122"/>
      <c r="P68" s="122"/>
      <c r="Q68" s="122"/>
      <c r="R68" s="122"/>
      <c r="S68" s="110"/>
      <c r="T68" s="59" t="str">
        <f>HYPERLINK("https://www.mpam.mp.br/images-j5/DCCON/2026/TERMOS%20ADITIVOS%20-%20CONVENIOS/2o%20TA%20AO%20ACT%20065-2024.pdf","2º Termo Aditivo")</f>
        <v>2º Termo Aditivo</v>
      </c>
    </row>
    <row r="69" spans="1:262" s="23" customFormat="1" ht="60" customHeight="1" x14ac:dyDescent="0.25">
      <c r="A69" s="77" t="str">
        <f>HYPERLINK("https://www.mpam.mp.br/images/ACT_N%C2%BA_015-2024_-_MPAM-CRN7_747f0.pdf","TCT 15/2024 PGJ")</f>
        <v>TCT 15/2024 PGJ</v>
      </c>
      <c r="B69" s="59" t="s">
        <v>21</v>
      </c>
      <c r="C69" s="59" t="s">
        <v>380</v>
      </c>
      <c r="D69" s="59" t="s">
        <v>381</v>
      </c>
      <c r="E69" s="60" t="s">
        <v>382</v>
      </c>
      <c r="F69" s="66">
        <v>45604</v>
      </c>
      <c r="G69" s="66">
        <v>47065</v>
      </c>
      <c r="H69" s="59" t="s">
        <v>25</v>
      </c>
      <c r="I69" s="59" t="s">
        <v>383</v>
      </c>
      <c r="J69" s="59" t="s">
        <v>384</v>
      </c>
      <c r="K69" s="59" t="s">
        <v>385</v>
      </c>
      <c r="L69" s="59" t="s">
        <v>386</v>
      </c>
      <c r="M69" s="59" t="s">
        <v>29</v>
      </c>
      <c r="N69" s="59" t="s">
        <v>29</v>
      </c>
      <c r="O69" s="69">
        <v>0</v>
      </c>
      <c r="P69" s="59" t="s">
        <v>29</v>
      </c>
      <c r="Q69" s="69">
        <v>0</v>
      </c>
      <c r="R69" s="59" t="s">
        <v>29</v>
      </c>
      <c r="S69" s="59" t="s">
        <v>30</v>
      </c>
      <c r="T69" s="59" t="s">
        <v>31</v>
      </c>
      <c r="U69" s="1"/>
      <c r="V69" s="25"/>
    </row>
    <row r="70" spans="1:262" s="24" customFormat="1" ht="60" customHeight="1" x14ac:dyDescent="0.25">
      <c r="A70" s="77" t="str">
        <f>HYPERLINK("https://www.mpam.mp.br/images/ACT_SN-2024_-_MPM-MPAM_2edec.pdf","TCT 0/2024 PGJ")</f>
        <v>TCT 0/2024 PGJ</v>
      </c>
      <c r="B70" s="59" t="s">
        <v>21</v>
      </c>
      <c r="C70" s="59" t="s">
        <v>387</v>
      </c>
      <c r="D70" s="59" t="s">
        <v>388</v>
      </c>
      <c r="E70" s="60" t="s">
        <v>389</v>
      </c>
      <c r="F70" s="66" t="s">
        <v>390</v>
      </c>
      <c r="G70" s="66" t="s">
        <v>391</v>
      </c>
      <c r="H70" s="59" t="s">
        <v>25</v>
      </c>
      <c r="I70" s="59" t="s">
        <v>392</v>
      </c>
      <c r="J70" s="59" t="s">
        <v>393</v>
      </c>
      <c r="K70" s="59" t="s">
        <v>394</v>
      </c>
      <c r="L70" s="59" t="s">
        <v>395</v>
      </c>
      <c r="M70" s="59" t="s">
        <v>29</v>
      </c>
      <c r="N70" s="59" t="s">
        <v>29</v>
      </c>
      <c r="O70" s="69">
        <v>0</v>
      </c>
      <c r="P70" s="122" t="s">
        <v>29</v>
      </c>
      <c r="Q70" s="69">
        <v>0</v>
      </c>
      <c r="R70" s="122" t="s">
        <v>29</v>
      </c>
      <c r="S70" s="59" t="s">
        <v>30</v>
      </c>
      <c r="T70" s="73" t="s">
        <v>31</v>
      </c>
      <c r="U70" s="1"/>
      <c r="V70" s="26"/>
    </row>
    <row r="71" spans="1:262" ht="60" customHeight="1" x14ac:dyDescent="0.25">
      <c r="A71" s="77" t="str">
        <f>HYPERLINK("https://www.mpam.mp.br/images/ACT_nº_016-2024_-_CETAM-MPAM_c01ab.pdf","TCT 16/2024 PGJ")</f>
        <v>TCT 16/2024 PGJ</v>
      </c>
      <c r="B71" s="59" t="s">
        <v>21</v>
      </c>
      <c r="C71" s="59" t="s">
        <v>396</v>
      </c>
      <c r="D71" s="59" t="s">
        <v>397</v>
      </c>
      <c r="E71" s="60" t="s">
        <v>398</v>
      </c>
      <c r="F71" s="66" t="s">
        <v>399</v>
      </c>
      <c r="G71" s="66" t="s">
        <v>400</v>
      </c>
      <c r="H71" s="59" t="s">
        <v>25</v>
      </c>
      <c r="I71" s="59" t="s">
        <v>401</v>
      </c>
      <c r="J71" s="59" t="s">
        <v>402</v>
      </c>
      <c r="K71" s="59" t="s">
        <v>403</v>
      </c>
      <c r="L71" s="59" t="s">
        <v>352</v>
      </c>
      <c r="M71" s="59" t="s">
        <v>29</v>
      </c>
      <c r="N71" s="59" t="s">
        <v>29</v>
      </c>
      <c r="O71" s="69">
        <v>0</v>
      </c>
      <c r="P71" s="122"/>
      <c r="Q71" s="69">
        <v>0</v>
      </c>
      <c r="R71" s="122"/>
      <c r="S71" s="59" t="s">
        <v>30</v>
      </c>
      <c r="T71" s="81" t="s">
        <v>31</v>
      </c>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row>
    <row r="72" spans="1:262" ht="60" customHeight="1" x14ac:dyDescent="0.25">
      <c r="A72" s="77" t="str">
        <f>HYPERLINK("https://www.mpam.mp.br/images/Termo_de_Adesão_ao_ACT_Nº_061-2023_-_TJAM_81491.pdf","TCT 61/2023 PGJ")</f>
        <v>TCT 61/2023 PGJ</v>
      </c>
      <c r="B72" s="59" t="s">
        <v>32</v>
      </c>
      <c r="C72" s="59" t="s">
        <v>404</v>
      </c>
      <c r="D72" s="59" t="s">
        <v>405</v>
      </c>
      <c r="E72" s="60" t="s">
        <v>406</v>
      </c>
      <c r="F72" s="66" t="s">
        <v>407</v>
      </c>
      <c r="G72" s="66" t="s">
        <v>408</v>
      </c>
      <c r="H72" s="59" t="s">
        <v>25</v>
      </c>
      <c r="I72" s="59" t="s">
        <v>166</v>
      </c>
      <c r="J72" s="59" t="s">
        <v>167</v>
      </c>
      <c r="K72" s="59" t="s">
        <v>29</v>
      </c>
      <c r="L72" s="59" t="s">
        <v>409</v>
      </c>
      <c r="M72" s="59" t="s">
        <v>29</v>
      </c>
      <c r="N72" s="59" t="s">
        <v>29</v>
      </c>
      <c r="O72" s="69">
        <v>0</v>
      </c>
      <c r="P72" s="59" t="s">
        <v>29</v>
      </c>
      <c r="Q72" s="69">
        <v>0</v>
      </c>
      <c r="R72" s="59" t="s">
        <v>29</v>
      </c>
      <c r="S72" s="59" t="s">
        <v>30</v>
      </c>
      <c r="T72" s="59" t="s">
        <v>31</v>
      </c>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row>
    <row r="73" spans="1:262" ht="60" customHeight="1" x14ac:dyDescent="0.25">
      <c r="A73" s="77" t="str">
        <f>HYPERLINK("https://www.mpam.mp.br/images/Termo_de_Adesão_ao_ACT_Nº_049-2023_-_TJAM_21855.pdf","TCT 49/2023 PGJ")</f>
        <v>TCT 49/2023 PGJ</v>
      </c>
      <c r="B73" s="59" t="s">
        <v>32</v>
      </c>
      <c r="C73" s="59" t="s">
        <v>410</v>
      </c>
      <c r="D73" s="59" t="s">
        <v>411</v>
      </c>
      <c r="E73" s="60" t="s">
        <v>412</v>
      </c>
      <c r="F73" s="59" t="s">
        <v>413</v>
      </c>
      <c r="G73" s="59" t="s">
        <v>414</v>
      </c>
      <c r="H73" s="59" t="s">
        <v>25</v>
      </c>
      <c r="I73" s="59" t="s">
        <v>166</v>
      </c>
      <c r="J73" s="59" t="s">
        <v>167</v>
      </c>
      <c r="K73" s="59" t="s">
        <v>363</v>
      </c>
      <c r="L73" s="59" t="s">
        <v>415</v>
      </c>
      <c r="M73" s="59" t="s">
        <v>29</v>
      </c>
      <c r="N73" s="59" t="s">
        <v>29</v>
      </c>
      <c r="O73" s="82">
        <v>0</v>
      </c>
      <c r="P73" s="59" t="s">
        <v>29</v>
      </c>
      <c r="Q73" s="82">
        <v>0</v>
      </c>
      <c r="R73" s="59" t="s">
        <v>29</v>
      </c>
      <c r="S73" s="59" t="s">
        <v>30</v>
      </c>
      <c r="T73" s="59" t="str">
        <f>HYPERLINK("https://www.mpam.mp.br/images/Termo_de_Adesão_ao_ACT_Nº_049-2023_-_TJAM_21855.pdf","1º Termo Aditivo")</f>
        <v>1º Termo Aditivo</v>
      </c>
    </row>
    <row r="74" spans="1:262" ht="60" customHeight="1" x14ac:dyDescent="0.25">
      <c r="A74" s="77" t="str">
        <f>HYPERLINK("https://www.mpam.mp.br/images/ACT_nº_053-2024_-_TJAM_3999f.pdf","TCT 53/2024 PGJ")</f>
        <v>TCT 53/2024 PGJ</v>
      </c>
      <c r="B74" s="59" t="s">
        <v>21</v>
      </c>
      <c r="C74" s="59" t="s">
        <v>416</v>
      </c>
      <c r="D74" s="59" t="s">
        <v>417</v>
      </c>
      <c r="E74" s="60" t="s">
        <v>418</v>
      </c>
      <c r="F74" s="59">
        <v>45559</v>
      </c>
      <c r="G74" s="59">
        <v>46289</v>
      </c>
      <c r="H74" s="59" t="s">
        <v>25</v>
      </c>
      <c r="I74" s="59" t="s">
        <v>166</v>
      </c>
      <c r="J74" s="59" t="s">
        <v>419</v>
      </c>
      <c r="K74" s="59" t="s">
        <v>420</v>
      </c>
      <c r="L74" s="59" t="s">
        <v>368</v>
      </c>
      <c r="M74" s="59" t="s">
        <v>29</v>
      </c>
      <c r="N74" s="59" t="s">
        <v>29</v>
      </c>
      <c r="O74" s="82">
        <v>0</v>
      </c>
      <c r="P74" s="59" t="s">
        <v>29</v>
      </c>
      <c r="Q74" s="82">
        <v>0</v>
      </c>
      <c r="R74" s="59" t="s">
        <v>29</v>
      </c>
      <c r="S74" s="59" t="s">
        <v>30</v>
      </c>
      <c r="T74" s="59" t="s">
        <v>31</v>
      </c>
    </row>
    <row r="75" spans="1:262" ht="60" customHeight="1" x14ac:dyDescent="0.25">
      <c r="A75" s="77" t="str">
        <f>HYPERLINK("https://www.mpam.mp.br/images/ACT_Nº_013-2024_-_MPAM-SINETRAM_3e04d.pdf","TCT 13/2024 PGJ")</f>
        <v>TCT 13/2024 PGJ</v>
      </c>
      <c r="B75" s="59" t="s">
        <v>21</v>
      </c>
      <c r="C75" s="59" t="s">
        <v>421</v>
      </c>
      <c r="D75" s="59" t="s">
        <v>422</v>
      </c>
      <c r="E75" s="60" t="s">
        <v>423</v>
      </c>
      <c r="F75" s="59">
        <v>45552</v>
      </c>
      <c r="G75" s="59">
        <v>47378</v>
      </c>
      <c r="H75" s="59" t="s">
        <v>25</v>
      </c>
      <c r="I75" s="59" t="s">
        <v>424</v>
      </c>
      <c r="J75" s="59" t="s">
        <v>425</v>
      </c>
      <c r="K75" s="59" t="s">
        <v>426</v>
      </c>
      <c r="L75" s="59" t="s">
        <v>427</v>
      </c>
      <c r="M75" s="59" t="s">
        <v>29</v>
      </c>
      <c r="N75" s="59" t="s">
        <v>29</v>
      </c>
      <c r="O75" s="82">
        <v>0</v>
      </c>
      <c r="P75" s="59" t="s">
        <v>29</v>
      </c>
      <c r="Q75" s="82">
        <v>0</v>
      </c>
      <c r="R75" s="59" t="s">
        <v>29</v>
      </c>
      <c r="S75" s="59" t="s">
        <v>30</v>
      </c>
      <c r="T75" s="59" t="s">
        <v>31</v>
      </c>
    </row>
    <row r="76" spans="1:262" ht="60" customHeight="1" x14ac:dyDescent="0.25">
      <c r="A76" s="77" t="str">
        <f>HYPERLINK("https://www.mpam.mp.br/images/Termo_de_Adesão_ao_ACT_Nº_94-2024-CNMP_1f7b0.pdf","TC 0/2024 PGJ")</f>
        <v>TC 0/2024 PGJ</v>
      </c>
      <c r="B76" s="59" t="s">
        <v>32</v>
      </c>
      <c r="C76" s="59" t="s">
        <v>428</v>
      </c>
      <c r="D76" s="59" t="s">
        <v>429</v>
      </c>
      <c r="E76" s="60" t="s">
        <v>430</v>
      </c>
      <c r="F76" s="59">
        <v>45533</v>
      </c>
      <c r="G76" s="59">
        <v>47359</v>
      </c>
      <c r="H76" s="59" t="s">
        <v>25</v>
      </c>
      <c r="I76" s="59" t="s">
        <v>36</v>
      </c>
      <c r="J76" s="59" t="s">
        <v>123</v>
      </c>
      <c r="K76" s="59" t="s">
        <v>431</v>
      </c>
      <c r="L76" s="59" t="s">
        <v>432</v>
      </c>
      <c r="M76" s="59" t="s">
        <v>29</v>
      </c>
      <c r="N76" s="59" t="s">
        <v>29</v>
      </c>
      <c r="O76" s="82">
        <v>0</v>
      </c>
      <c r="P76" s="59" t="s">
        <v>29</v>
      </c>
      <c r="Q76" s="82">
        <v>0</v>
      </c>
      <c r="R76" s="59" t="s">
        <v>29</v>
      </c>
      <c r="S76" s="59" t="s">
        <v>30</v>
      </c>
      <c r="T76" s="83" t="s">
        <v>31</v>
      </c>
    </row>
    <row r="77" spans="1:262" ht="60" customHeight="1" x14ac:dyDescent="0.25">
      <c r="A77" s="77" t="str">
        <f>HYPERLINK("https://www.mpam.mp.br/images/Termo_de_Adesão_-_Cartórios_de_Registro_de_Imóveis_55724.pdf","TC 0/2024 PGJ")</f>
        <v>TC 0/2024 PGJ</v>
      </c>
      <c r="B77" s="59" t="s">
        <v>32</v>
      </c>
      <c r="C77" s="59" t="s">
        <v>433</v>
      </c>
      <c r="D77" s="59" t="s">
        <v>434</v>
      </c>
      <c r="E77" s="60" t="s">
        <v>435</v>
      </c>
      <c r="F77" s="57">
        <v>45343</v>
      </c>
      <c r="G77" s="57" t="s">
        <v>436</v>
      </c>
      <c r="H77" s="59" t="s">
        <v>25</v>
      </c>
      <c r="I77" s="59" t="s">
        <v>437</v>
      </c>
      <c r="J77" s="59" t="s">
        <v>438</v>
      </c>
      <c r="K77" s="59" t="s">
        <v>29</v>
      </c>
      <c r="L77" s="59" t="s">
        <v>439</v>
      </c>
      <c r="M77" s="59" t="s">
        <v>29</v>
      </c>
      <c r="N77" s="59" t="s">
        <v>29</v>
      </c>
      <c r="O77" s="82">
        <v>0</v>
      </c>
      <c r="P77" s="59" t="s">
        <v>29</v>
      </c>
      <c r="Q77" s="82">
        <v>0</v>
      </c>
      <c r="R77" s="59" t="s">
        <v>29</v>
      </c>
      <c r="S77" s="59" t="s">
        <v>30</v>
      </c>
      <c r="T77" s="59" t="s">
        <v>31</v>
      </c>
    </row>
    <row r="78" spans="1:262" ht="60" customHeight="1" x14ac:dyDescent="0.25">
      <c r="A78" s="77" t="str">
        <f>HYPERLINK("https://www.mpam.mp.br/images/ACT_Nº_203-2024-_SOFTEX-MPAM_36bf2.pdf","TCT 203/2024 PGJ")</f>
        <v>TCT 203/2024 PGJ</v>
      </c>
      <c r="B78" s="59" t="s">
        <v>21</v>
      </c>
      <c r="C78" s="59" t="s">
        <v>440</v>
      </c>
      <c r="D78" s="59" t="s">
        <v>441</v>
      </c>
      <c r="E78" s="60" t="s">
        <v>442</v>
      </c>
      <c r="F78" s="57">
        <v>45505</v>
      </c>
      <c r="G78" s="57">
        <v>47331</v>
      </c>
      <c r="H78" s="59" t="s">
        <v>25</v>
      </c>
      <c r="I78" s="59" t="s">
        <v>443</v>
      </c>
      <c r="J78" s="59" t="s">
        <v>444</v>
      </c>
      <c r="K78" s="59" t="s">
        <v>445</v>
      </c>
      <c r="L78" s="59" t="s">
        <v>446</v>
      </c>
      <c r="M78" s="59" t="s">
        <v>29</v>
      </c>
      <c r="N78" s="59" t="s">
        <v>29</v>
      </c>
      <c r="O78" s="82">
        <v>0</v>
      </c>
      <c r="P78" s="59" t="s">
        <v>29</v>
      </c>
      <c r="Q78" s="82">
        <v>0</v>
      </c>
      <c r="R78" s="59" t="s">
        <v>29</v>
      </c>
      <c r="S78" s="59" t="s">
        <v>30</v>
      </c>
      <c r="T78" s="59" t="s">
        <v>31</v>
      </c>
    </row>
    <row r="79" spans="1:262" ht="60" customHeight="1" x14ac:dyDescent="0.25">
      <c r="A79" s="77" t="str">
        <f>HYPERLINK("https://www.mpam.mp.br/images/ACT_nº_046.2024_-_TJAM_235c6.pdf","TCT 46/2024 PGJ")</f>
        <v>TCT 46/2024 PGJ</v>
      </c>
      <c r="B79" s="59" t="s">
        <v>21</v>
      </c>
      <c r="C79" s="59" t="s">
        <v>447</v>
      </c>
      <c r="D79" s="59" t="s">
        <v>448</v>
      </c>
      <c r="E79" s="60">
        <v>2023015544</v>
      </c>
      <c r="F79" s="57">
        <v>45497</v>
      </c>
      <c r="G79" s="57" t="s">
        <v>449</v>
      </c>
      <c r="H79" s="59" t="s">
        <v>25</v>
      </c>
      <c r="I79" s="59" t="s">
        <v>166</v>
      </c>
      <c r="J79" s="59" t="s">
        <v>167</v>
      </c>
      <c r="K79" s="59" t="s">
        <v>363</v>
      </c>
      <c r="L79" s="59" t="s">
        <v>427</v>
      </c>
      <c r="M79" s="59" t="s">
        <v>29</v>
      </c>
      <c r="N79" s="59" t="s">
        <v>29</v>
      </c>
      <c r="O79" s="82">
        <v>0</v>
      </c>
      <c r="P79" s="59" t="s">
        <v>29</v>
      </c>
      <c r="Q79" s="82">
        <v>0</v>
      </c>
      <c r="R79" s="59" t="s">
        <v>29</v>
      </c>
      <c r="S79" s="59" t="s">
        <v>30</v>
      </c>
      <c r="T79" s="59" t="s">
        <v>31</v>
      </c>
    </row>
    <row r="80" spans="1:262" ht="60" customHeight="1" x14ac:dyDescent="0.25">
      <c r="A80" s="77" t="str">
        <f>HYPERLINK("https://www.mpam.mp.br/images/ACT_Nº_SN-2024-_MPRS_c0965.pdf","TCT 0/2024 PGJ")</f>
        <v>TCT 0/2024 PGJ</v>
      </c>
      <c r="B80" s="59" t="s">
        <v>21</v>
      </c>
      <c r="C80" s="59" t="s">
        <v>450</v>
      </c>
      <c r="D80" s="84" t="s">
        <v>451</v>
      </c>
      <c r="E80" s="60" t="s">
        <v>452</v>
      </c>
      <c r="F80" s="57">
        <v>45511</v>
      </c>
      <c r="G80" s="59" t="s">
        <v>453</v>
      </c>
      <c r="H80" s="59" t="s">
        <v>25</v>
      </c>
      <c r="I80" s="59" t="s">
        <v>454</v>
      </c>
      <c r="J80" s="59" t="s">
        <v>455</v>
      </c>
      <c r="K80" s="59" t="s">
        <v>456</v>
      </c>
      <c r="L80" s="84" t="s">
        <v>439</v>
      </c>
      <c r="M80" s="59" t="s">
        <v>29</v>
      </c>
      <c r="N80" s="59" t="s">
        <v>29</v>
      </c>
      <c r="O80" s="82">
        <v>0</v>
      </c>
      <c r="P80" s="59" t="s">
        <v>29</v>
      </c>
      <c r="Q80" s="82">
        <v>0</v>
      </c>
      <c r="R80" s="59" t="s">
        <v>29</v>
      </c>
      <c r="S80" s="59" t="s">
        <v>30</v>
      </c>
      <c r="T80" s="59" t="s">
        <v>31</v>
      </c>
    </row>
    <row r="81" spans="1:21" ht="60" customHeight="1" x14ac:dyDescent="0.25">
      <c r="A81" s="77" t="str">
        <f>HYPERLINK("https://www.mpam.mp.br/images/Termo_de_Adesão_ao_ACT_nº_22-2023_-_STJ-CNMP_e1a07.pdf","TC 0/2024 PGJ")</f>
        <v>TC 0/2024 PGJ</v>
      </c>
      <c r="B81" s="59" t="s">
        <v>32</v>
      </c>
      <c r="C81" s="59" t="s">
        <v>457</v>
      </c>
      <c r="D81" s="59" t="s">
        <v>458</v>
      </c>
      <c r="E81" s="60" t="s">
        <v>459</v>
      </c>
      <c r="F81" s="57">
        <v>45523</v>
      </c>
      <c r="G81" s="57" t="s">
        <v>460</v>
      </c>
      <c r="H81" s="59" t="s">
        <v>25</v>
      </c>
      <c r="I81" s="59" t="s">
        <v>36</v>
      </c>
      <c r="J81" s="59" t="s">
        <v>123</v>
      </c>
      <c r="K81" s="59" t="s">
        <v>124</v>
      </c>
      <c r="L81" s="84" t="s">
        <v>461</v>
      </c>
      <c r="M81" s="59" t="s">
        <v>29</v>
      </c>
      <c r="N81" s="59" t="s">
        <v>29</v>
      </c>
      <c r="O81" s="82">
        <v>0</v>
      </c>
      <c r="P81" s="59" t="s">
        <v>29</v>
      </c>
      <c r="Q81" s="82">
        <v>0</v>
      </c>
      <c r="R81" s="59" t="s">
        <v>29</v>
      </c>
      <c r="S81" s="59" t="s">
        <v>30</v>
      </c>
      <c r="T81" s="59" t="s">
        <v>31</v>
      </c>
    </row>
    <row r="82" spans="1:21" ht="60" customHeight="1" x14ac:dyDescent="0.25">
      <c r="A82" s="77" t="str">
        <f>HYPERLINK("https://www.mpam.mp.br/images/ACT_nº_003-2024_-_MPAM_d0b06.pdf","TCT 3/2024 PGJ")</f>
        <v>TCT 3/2024 PGJ</v>
      </c>
      <c r="B82" s="59" t="s">
        <v>21</v>
      </c>
      <c r="C82" s="59" t="s">
        <v>462</v>
      </c>
      <c r="D82" s="59" t="s">
        <v>458</v>
      </c>
      <c r="E82" s="60" t="s">
        <v>463</v>
      </c>
      <c r="F82" s="57">
        <v>45524</v>
      </c>
      <c r="G82" s="59" t="s">
        <v>464</v>
      </c>
      <c r="H82" s="59" t="s">
        <v>25</v>
      </c>
      <c r="I82" s="59" t="s">
        <v>465</v>
      </c>
      <c r="J82" s="59" t="s">
        <v>44</v>
      </c>
      <c r="K82" s="59" t="s">
        <v>466</v>
      </c>
      <c r="L82" s="59" t="s">
        <v>427</v>
      </c>
      <c r="M82" s="59" t="s">
        <v>29</v>
      </c>
      <c r="N82" s="59" t="s">
        <v>29</v>
      </c>
      <c r="O82" s="82">
        <v>0</v>
      </c>
      <c r="P82" s="59" t="s">
        <v>29</v>
      </c>
      <c r="Q82" s="82">
        <v>0</v>
      </c>
      <c r="R82" s="59" t="s">
        <v>29</v>
      </c>
      <c r="S82" s="59" t="s">
        <v>30</v>
      </c>
      <c r="T82" s="59" t="s">
        <v>31</v>
      </c>
    </row>
    <row r="83" spans="1:21" ht="60" customHeight="1" x14ac:dyDescent="0.25">
      <c r="A83" s="77" t="str">
        <f>HYPERLINK("https://www.mpam.mp.br/images/ACT_Nº_048-2024_-_MPMS_a9baa.pdf","TCT 48/2024 PGJ")</f>
        <v>TCT 48/2024 PGJ</v>
      </c>
      <c r="B83" s="59" t="s">
        <v>21</v>
      </c>
      <c r="C83" s="59" t="s">
        <v>467</v>
      </c>
      <c r="D83" s="59" t="s">
        <v>468</v>
      </c>
      <c r="E83" s="60" t="s">
        <v>469</v>
      </c>
      <c r="F83" s="57">
        <v>45526</v>
      </c>
      <c r="G83" s="59" t="s">
        <v>470</v>
      </c>
      <c r="H83" s="59" t="s">
        <v>25</v>
      </c>
      <c r="I83" s="59" t="s">
        <v>471</v>
      </c>
      <c r="J83" s="59" t="s">
        <v>472</v>
      </c>
      <c r="K83" s="84" t="s">
        <v>473</v>
      </c>
      <c r="L83" s="59" t="s">
        <v>474</v>
      </c>
      <c r="M83" s="59" t="s">
        <v>29</v>
      </c>
      <c r="N83" s="59" t="s">
        <v>29</v>
      </c>
      <c r="O83" s="82">
        <v>0</v>
      </c>
      <c r="P83" s="59" t="s">
        <v>29</v>
      </c>
      <c r="Q83" s="82">
        <v>0</v>
      </c>
      <c r="R83" s="59" t="s">
        <v>29</v>
      </c>
      <c r="S83" s="59" t="s">
        <v>30</v>
      </c>
      <c r="T83" s="59" t="s">
        <v>31</v>
      </c>
    </row>
    <row r="84" spans="1:21" ht="60" customHeight="1" x14ac:dyDescent="0.25">
      <c r="A84" s="77" t="str">
        <f>HYPERLINK("https://www.mpam.mp.br/images/ACT_Nº_004-2024-_MPAM-PROCON-AM_9130f.pdf","TCT 4/2024 PGJ")</f>
        <v>TCT 4/2024 PGJ</v>
      </c>
      <c r="B84" s="59" t="s">
        <v>21</v>
      </c>
      <c r="C84" s="59" t="s">
        <v>475</v>
      </c>
      <c r="D84" s="59" t="s">
        <v>476</v>
      </c>
      <c r="E84" s="60" t="s">
        <v>477</v>
      </c>
      <c r="F84" s="57">
        <v>45482</v>
      </c>
      <c r="G84" s="59" t="s">
        <v>478</v>
      </c>
      <c r="H84" s="59" t="s">
        <v>25</v>
      </c>
      <c r="I84" s="59" t="s">
        <v>207</v>
      </c>
      <c r="J84" s="59" t="s">
        <v>208</v>
      </c>
      <c r="K84" s="59" t="s">
        <v>479</v>
      </c>
      <c r="L84" s="59" t="s">
        <v>480</v>
      </c>
      <c r="M84" s="59" t="s">
        <v>29</v>
      </c>
      <c r="N84" s="59" t="s">
        <v>29</v>
      </c>
      <c r="O84" s="82">
        <v>0</v>
      </c>
      <c r="P84" s="59" t="s">
        <v>29</v>
      </c>
      <c r="Q84" s="82">
        <v>0</v>
      </c>
      <c r="R84" s="59" t="s">
        <v>29</v>
      </c>
      <c r="S84" s="59" t="s">
        <v>30</v>
      </c>
      <c r="T84" s="59" t="s">
        <v>31</v>
      </c>
      <c r="U84" s="5" t="s">
        <v>29</v>
      </c>
    </row>
    <row r="85" spans="1:21" ht="60" customHeight="1" x14ac:dyDescent="0.25">
      <c r="A85" s="77" t="str">
        <f>HYPERLINK("https://www.mpam.mp.br/images/ACT_Nº_011-2024-_MPAM-EJUD11_8516c.pdf","TCT 11/2024 PGJ")</f>
        <v>TCT 11/2024 PGJ</v>
      </c>
      <c r="B85" s="59" t="s">
        <v>21</v>
      </c>
      <c r="C85" s="59" t="s">
        <v>481</v>
      </c>
      <c r="D85" s="59" t="s">
        <v>476</v>
      </c>
      <c r="E85" s="60" t="s">
        <v>482</v>
      </c>
      <c r="F85" s="57">
        <v>45488</v>
      </c>
      <c r="G85" s="59" t="s">
        <v>483</v>
      </c>
      <c r="H85" s="59" t="s">
        <v>25</v>
      </c>
      <c r="I85" s="59" t="s">
        <v>484</v>
      </c>
      <c r="J85" s="59" t="s">
        <v>419</v>
      </c>
      <c r="K85" s="84" t="s">
        <v>485</v>
      </c>
      <c r="L85" s="59" t="s">
        <v>486</v>
      </c>
      <c r="M85" s="59" t="s">
        <v>29</v>
      </c>
      <c r="N85" s="59" t="s">
        <v>29</v>
      </c>
      <c r="O85" s="82">
        <v>0</v>
      </c>
      <c r="P85" s="59" t="s">
        <v>29</v>
      </c>
      <c r="Q85" s="82">
        <v>0</v>
      </c>
      <c r="R85" s="59" t="s">
        <v>29</v>
      </c>
      <c r="S85" s="59" t="s">
        <v>30</v>
      </c>
      <c r="T85" s="59" t="s">
        <v>31</v>
      </c>
    </row>
    <row r="86" spans="1:21" ht="60" customHeight="1" x14ac:dyDescent="0.25">
      <c r="A86" s="77" t="str">
        <f>HYPERLINK("https://www.mpam.mp.br/images/Termo_de_Adesao_MPAM_ao_Pacto_Nacional_pe_8f46c.pdf","TC 0/2024 PGJ")</f>
        <v>TC 0/2024 PGJ</v>
      </c>
      <c r="B86" s="59" t="s">
        <v>32</v>
      </c>
      <c r="C86" s="59" t="s">
        <v>487</v>
      </c>
      <c r="D86" s="59" t="s">
        <v>476</v>
      </c>
      <c r="E86" s="60" t="s">
        <v>488</v>
      </c>
      <c r="F86" s="57">
        <v>45435</v>
      </c>
      <c r="G86" s="59" t="s">
        <v>489</v>
      </c>
      <c r="H86" s="59" t="s">
        <v>25</v>
      </c>
      <c r="I86" s="59" t="s">
        <v>36</v>
      </c>
      <c r="J86" s="59" t="s">
        <v>123</v>
      </c>
      <c r="K86" s="59" t="s">
        <v>490</v>
      </c>
      <c r="L86" s="84" t="s">
        <v>415</v>
      </c>
      <c r="M86" s="59" t="s">
        <v>29</v>
      </c>
      <c r="N86" s="59" t="s">
        <v>29</v>
      </c>
      <c r="O86" s="82">
        <v>0</v>
      </c>
      <c r="P86" s="59" t="s">
        <v>29</v>
      </c>
      <c r="Q86" s="82">
        <v>0</v>
      </c>
      <c r="R86" s="59" t="s">
        <v>29</v>
      </c>
      <c r="S86" s="59" t="s">
        <v>30</v>
      </c>
      <c r="T86" s="59" t="s">
        <v>31</v>
      </c>
    </row>
    <row r="87" spans="1:21" ht="60" customHeight="1" x14ac:dyDescent="0.25">
      <c r="A87" s="77" t="str">
        <f>HYPERLINK("https://www.mpam.mp.br/images/TCU_Nº_001-2024-_MPAM-NOVO_ARIPUANÃ_7cc09.pdf","CCS 1/2024 PGJ")</f>
        <v>CCS 1/2024 PGJ</v>
      </c>
      <c r="B87" s="59" t="s">
        <v>491</v>
      </c>
      <c r="C87" s="59" t="s">
        <v>492</v>
      </c>
      <c r="D87" s="59" t="s">
        <v>493</v>
      </c>
      <c r="E87" s="60" t="s">
        <v>494</v>
      </c>
      <c r="F87" s="57">
        <v>45488</v>
      </c>
      <c r="G87" s="59" t="s">
        <v>495</v>
      </c>
      <c r="H87" s="59" t="s">
        <v>25</v>
      </c>
      <c r="I87" s="59" t="s">
        <v>496</v>
      </c>
      <c r="J87" s="59" t="s">
        <v>106</v>
      </c>
      <c r="K87" s="59" t="s">
        <v>497</v>
      </c>
      <c r="L87" s="59" t="s">
        <v>498</v>
      </c>
      <c r="M87" s="59" t="s">
        <v>29</v>
      </c>
      <c r="N87" s="59" t="s">
        <v>29</v>
      </c>
      <c r="O87" s="85">
        <v>0</v>
      </c>
      <c r="P87" s="59" t="s">
        <v>29</v>
      </c>
      <c r="Q87" s="85">
        <v>0</v>
      </c>
      <c r="R87" s="59" t="s">
        <v>29</v>
      </c>
      <c r="S87" s="59" t="s">
        <v>30</v>
      </c>
      <c r="T87" s="59" t="s">
        <v>31</v>
      </c>
      <c r="U87" s="86"/>
    </row>
    <row r="88" spans="1:21" ht="60" customHeight="1" x14ac:dyDescent="0.25">
      <c r="A88" s="77" t="str">
        <f>HYPERLINK("https://www.mpam.mp.br/images/ACT_Nº_048-2024-_MPCE-MPAM_fdaf7.pdf","TCT 48/2024 PGJ")</f>
        <v>TCT 48/2024 PGJ</v>
      </c>
      <c r="B88" s="59" t="s">
        <v>21</v>
      </c>
      <c r="C88" s="59" t="s">
        <v>499</v>
      </c>
      <c r="D88" s="59" t="s">
        <v>500</v>
      </c>
      <c r="E88" s="60" t="s">
        <v>501</v>
      </c>
      <c r="F88" s="57">
        <v>45497</v>
      </c>
      <c r="G88" s="59" t="s">
        <v>449</v>
      </c>
      <c r="H88" s="59" t="s">
        <v>25</v>
      </c>
      <c r="I88" s="59" t="s">
        <v>502</v>
      </c>
      <c r="J88" s="59" t="s">
        <v>503</v>
      </c>
      <c r="K88" s="59" t="s">
        <v>504</v>
      </c>
      <c r="L88" s="59" t="s">
        <v>505</v>
      </c>
      <c r="M88" s="59" t="s">
        <v>29</v>
      </c>
      <c r="N88" s="59" t="s">
        <v>29</v>
      </c>
      <c r="O88" s="85">
        <v>0</v>
      </c>
      <c r="P88" s="59" t="s">
        <v>29</v>
      </c>
      <c r="Q88" s="85">
        <v>0</v>
      </c>
      <c r="R88" s="59" t="s">
        <v>29</v>
      </c>
      <c r="S88" s="59" t="s">
        <v>30</v>
      </c>
      <c r="T88" s="59" t="str">
        <f>HYPERLINK("https://www.mpam.mp.br/images/1%C2%BA_TA_ao_ACT_n%C2%BA_048-2024_-_MPCE_d3eb7.pdf","1º Termo Aditivo")</f>
        <v>1º Termo Aditivo</v>
      </c>
    </row>
    <row r="89" spans="1:21" ht="60" customHeight="1" x14ac:dyDescent="0.25">
      <c r="A89" s="77" t="str">
        <f>HYPERLINK("https://mpam.mp.br/images/Termo_de_Convênio_1.2024.DCCON.1363440.2023.004195_c5bf1.pdf","TC 1/2024 PGJ")</f>
        <v>TC 1/2024 PGJ</v>
      </c>
      <c r="B89" s="59" t="s">
        <v>353</v>
      </c>
      <c r="C89" s="59" t="s">
        <v>506</v>
      </c>
      <c r="D89" s="59" t="s">
        <v>507</v>
      </c>
      <c r="E89" s="60" t="s">
        <v>508</v>
      </c>
      <c r="F89" s="57">
        <v>45470</v>
      </c>
      <c r="G89" s="59" t="s">
        <v>509</v>
      </c>
      <c r="H89" s="59" t="s">
        <v>25</v>
      </c>
      <c r="I89" s="59" t="s">
        <v>510</v>
      </c>
      <c r="J89" s="59" t="s">
        <v>511</v>
      </c>
      <c r="K89" s="59" t="s">
        <v>512</v>
      </c>
      <c r="L89" s="59" t="s">
        <v>513</v>
      </c>
      <c r="M89" s="59" t="s">
        <v>29</v>
      </c>
      <c r="N89" s="59" t="s">
        <v>29</v>
      </c>
      <c r="O89" s="85">
        <v>0</v>
      </c>
      <c r="P89" s="59" t="s">
        <v>29</v>
      </c>
      <c r="Q89" s="85">
        <v>0</v>
      </c>
      <c r="R89" s="59" t="s">
        <v>29</v>
      </c>
      <c r="S89" s="59" t="s">
        <v>30</v>
      </c>
      <c r="T89" s="59" t="s">
        <v>31</v>
      </c>
    </row>
    <row r="90" spans="1:21" ht="60" customHeight="1" x14ac:dyDescent="0.25">
      <c r="A90" s="77" t="str">
        <f>HYPERLINK("https://mpam.mp.br/images/ACT_Nº_003-2024-_MPAM-MDHC_d9b3b.pdf","TCT 3/2024 PGJ")</f>
        <v>TCT 3/2024 PGJ</v>
      </c>
      <c r="B90" s="59" t="s">
        <v>21</v>
      </c>
      <c r="C90" s="59" t="s">
        <v>514</v>
      </c>
      <c r="D90" s="59" t="s">
        <v>515</v>
      </c>
      <c r="E90" s="60" t="s">
        <v>516</v>
      </c>
      <c r="F90" s="57">
        <v>45468</v>
      </c>
      <c r="G90" s="59" t="s">
        <v>517</v>
      </c>
      <c r="H90" s="59" t="s">
        <v>25</v>
      </c>
      <c r="I90" s="59" t="s">
        <v>518</v>
      </c>
      <c r="J90" s="59" t="s">
        <v>519</v>
      </c>
      <c r="K90" s="59" t="s">
        <v>520</v>
      </c>
      <c r="L90" s="59" t="s">
        <v>521</v>
      </c>
      <c r="M90" s="59" t="s">
        <v>29</v>
      </c>
      <c r="N90" s="59" t="s">
        <v>29</v>
      </c>
      <c r="O90" s="85">
        <v>0</v>
      </c>
      <c r="P90" s="59" t="s">
        <v>29</v>
      </c>
      <c r="Q90" s="85">
        <v>0</v>
      </c>
      <c r="R90" s="59" t="s">
        <v>29</v>
      </c>
      <c r="S90" s="59" t="s">
        <v>30</v>
      </c>
      <c r="T90" s="59" t="s">
        <v>31</v>
      </c>
    </row>
    <row r="91" spans="1:21" ht="60" customHeight="1" x14ac:dyDescent="0.25">
      <c r="A91" s="77" t="str">
        <f>HYPERLINK("https://mpam.mp.br/images/ACT_Nº_016-2024-_MPAM-CADE_2413a.pdf","TCT 16/2024 PGJ")</f>
        <v>TCT 16/2024 PGJ</v>
      </c>
      <c r="B91" s="59" t="s">
        <v>21</v>
      </c>
      <c r="C91" s="59" t="s">
        <v>522</v>
      </c>
      <c r="D91" s="59" t="s">
        <v>523</v>
      </c>
      <c r="E91" s="60" t="s">
        <v>524</v>
      </c>
      <c r="F91" s="57">
        <v>45467</v>
      </c>
      <c r="G91" s="59" t="s">
        <v>525</v>
      </c>
      <c r="H91" s="59" t="s">
        <v>25</v>
      </c>
      <c r="I91" s="59" t="s">
        <v>526</v>
      </c>
      <c r="J91" s="59" t="s">
        <v>527</v>
      </c>
      <c r="K91" s="59" t="s">
        <v>528</v>
      </c>
      <c r="L91" s="59" t="s">
        <v>529</v>
      </c>
      <c r="M91" s="59" t="s">
        <v>29</v>
      </c>
      <c r="N91" s="59" t="s">
        <v>29</v>
      </c>
      <c r="O91" s="85">
        <v>0</v>
      </c>
      <c r="P91" s="59" t="s">
        <v>29</v>
      </c>
      <c r="Q91" s="85">
        <v>0</v>
      </c>
      <c r="R91" s="59" t="s">
        <v>29</v>
      </c>
      <c r="S91" s="59" t="s">
        <v>30</v>
      </c>
      <c r="T91" s="73" t="s">
        <v>31</v>
      </c>
    </row>
    <row r="92" spans="1:21" ht="60" customHeight="1" x14ac:dyDescent="0.25">
      <c r="A92" s="77" t="str">
        <f>HYPERLINK("https://mpam.mp.br/images/ACT_Nº_SN-2024-_MPAM-ANS_6ac23.pdf","TCT 0/2024 PGJ")</f>
        <v>TCT 0/2024 PGJ</v>
      </c>
      <c r="B92" s="59" t="s">
        <v>21</v>
      </c>
      <c r="C92" s="59" t="s">
        <v>530</v>
      </c>
      <c r="D92" s="59" t="s">
        <v>515</v>
      </c>
      <c r="E92" s="60" t="s">
        <v>531</v>
      </c>
      <c r="F92" s="57">
        <v>45457</v>
      </c>
      <c r="G92" s="59" t="s">
        <v>532</v>
      </c>
      <c r="H92" s="59" t="s">
        <v>25</v>
      </c>
      <c r="I92" s="59" t="s">
        <v>533</v>
      </c>
      <c r="J92" s="59" t="s">
        <v>534</v>
      </c>
      <c r="K92" s="59" t="s">
        <v>535</v>
      </c>
      <c r="L92" s="59" t="s">
        <v>536</v>
      </c>
      <c r="M92" s="59" t="s">
        <v>29</v>
      </c>
      <c r="N92" s="59" t="s">
        <v>29</v>
      </c>
      <c r="O92" s="87">
        <v>0</v>
      </c>
      <c r="P92" s="59" t="s">
        <v>29</v>
      </c>
      <c r="Q92" s="87">
        <v>0</v>
      </c>
      <c r="R92" s="59" t="s">
        <v>29</v>
      </c>
      <c r="S92" s="59" t="s">
        <v>30</v>
      </c>
      <c r="T92" s="59" t="s">
        <v>31</v>
      </c>
      <c r="U92" s="86"/>
    </row>
    <row r="93" spans="1:21" ht="60" customHeight="1" x14ac:dyDescent="0.25">
      <c r="A93" s="77" t="str">
        <f>HYPERLINK("https://mpam.mp.br/images/ACT_Nº_SN-2024-_MPAM-Embaixada_EUA_00045.pdf","TCT 0/2024 PGJ")</f>
        <v>TCT 0/2024 PGJ</v>
      </c>
      <c r="B93" s="59" t="s">
        <v>21</v>
      </c>
      <c r="C93" s="59" t="s">
        <v>537</v>
      </c>
      <c r="D93" s="59" t="s">
        <v>507</v>
      </c>
      <c r="E93" s="60" t="s">
        <v>538</v>
      </c>
      <c r="F93" s="57">
        <v>45454</v>
      </c>
      <c r="G93" s="59" t="s">
        <v>539</v>
      </c>
      <c r="H93" s="59" t="s">
        <v>25</v>
      </c>
      <c r="I93" s="59" t="s">
        <v>540</v>
      </c>
      <c r="J93" s="59" t="s">
        <v>541</v>
      </c>
      <c r="K93" s="59" t="s">
        <v>542</v>
      </c>
      <c r="L93" s="59" t="s">
        <v>543</v>
      </c>
      <c r="M93" s="59" t="s">
        <v>29</v>
      </c>
      <c r="N93" s="59" t="s">
        <v>29</v>
      </c>
      <c r="O93" s="87">
        <v>0</v>
      </c>
      <c r="P93" s="59" t="s">
        <v>29</v>
      </c>
      <c r="Q93" s="87">
        <v>0</v>
      </c>
      <c r="R93" s="59" t="s">
        <v>29</v>
      </c>
      <c r="S93" s="59" t="s">
        <v>30</v>
      </c>
      <c r="T93" s="59" t="s">
        <v>31</v>
      </c>
      <c r="U93" s="86"/>
    </row>
    <row r="94" spans="1:21" ht="60" customHeight="1" x14ac:dyDescent="0.25">
      <c r="A94" s="77" t="str">
        <f>HYPERLINK("https://mpam.mp.br/images/ACT_Nº_010-2024-_MPAM-UEA_55c36.pdf","TCT 10/2024 PGJ")</f>
        <v>TCT 10/2024 PGJ</v>
      </c>
      <c r="B94" s="59" t="s">
        <v>21</v>
      </c>
      <c r="C94" s="59" t="s">
        <v>544</v>
      </c>
      <c r="D94" s="59" t="s">
        <v>545</v>
      </c>
      <c r="E94" s="60" t="s">
        <v>546</v>
      </c>
      <c r="F94" s="57">
        <v>45450</v>
      </c>
      <c r="G94" s="59" t="s">
        <v>547</v>
      </c>
      <c r="H94" s="59" t="s">
        <v>25</v>
      </c>
      <c r="I94" s="59" t="s">
        <v>330</v>
      </c>
      <c r="J94" s="59" t="s">
        <v>331</v>
      </c>
      <c r="K94" s="59" t="s">
        <v>332</v>
      </c>
      <c r="L94" s="59" t="s">
        <v>521</v>
      </c>
      <c r="M94" s="59" t="s">
        <v>29</v>
      </c>
      <c r="N94" s="59" t="s">
        <v>29</v>
      </c>
      <c r="O94" s="87">
        <v>0</v>
      </c>
      <c r="P94" s="59" t="s">
        <v>29</v>
      </c>
      <c r="Q94" s="87">
        <v>0</v>
      </c>
      <c r="R94" s="59" t="s">
        <v>29</v>
      </c>
      <c r="S94" s="59" t="s">
        <v>30</v>
      </c>
      <c r="T94" s="59" t="s">
        <v>31</v>
      </c>
      <c r="U94" s="86"/>
    </row>
    <row r="95" spans="1:21" ht="60" customHeight="1" x14ac:dyDescent="0.25">
      <c r="A95" s="111" t="str">
        <f>HYPERLINK("https://mpam.mp.br/images/ACT_Nº_001-2024-_MPAM-CDL_98357.pdf","TCT 1/2024 PGJ")</f>
        <v>TCT 1/2024 PGJ</v>
      </c>
      <c r="B95" s="110" t="s">
        <v>21</v>
      </c>
      <c r="C95" s="110" t="s">
        <v>548</v>
      </c>
      <c r="D95" s="110" t="s">
        <v>545</v>
      </c>
      <c r="E95" s="114" t="s">
        <v>549</v>
      </c>
      <c r="F95" s="109">
        <v>45448</v>
      </c>
      <c r="G95" s="110">
        <v>46544</v>
      </c>
      <c r="H95" s="110" t="s">
        <v>25</v>
      </c>
      <c r="I95" s="110" t="s">
        <v>550</v>
      </c>
      <c r="J95" s="110" t="s">
        <v>551</v>
      </c>
      <c r="K95" s="110" t="s">
        <v>552</v>
      </c>
      <c r="L95" s="110" t="s">
        <v>543</v>
      </c>
      <c r="M95" s="110" t="s">
        <v>29</v>
      </c>
      <c r="N95" s="110" t="s">
        <v>29</v>
      </c>
      <c r="O95" s="108">
        <v>0</v>
      </c>
      <c r="P95" s="108" t="s">
        <v>29</v>
      </c>
      <c r="Q95" s="108">
        <v>0</v>
      </c>
      <c r="R95" s="108" t="s">
        <v>29</v>
      </c>
      <c r="S95" s="110" t="s">
        <v>30</v>
      </c>
      <c r="T95" s="59" t="str">
        <f>HYPERLINK("https://www.mpam.mp.br/images/1%C2%BA_TA_ao_ACT_N%C2%BA_001-2024_-_CDL_5fd00.pdf","1º Termo Aditivo")</f>
        <v>1º Termo Aditivo</v>
      </c>
      <c r="U95" s="86"/>
    </row>
    <row r="96" spans="1:21" ht="60" customHeight="1" x14ac:dyDescent="0.25">
      <c r="A96" s="111"/>
      <c r="B96" s="110"/>
      <c r="C96" s="110"/>
      <c r="D96" s="110"/>
      <c r="E96" s="114"/>
      <c r="F96" s="109"/>
      <c r="G96" s="110"/>
      <c r="H96" s="110"/>
      <c r="I96" s="110"/>
      <c r="J96" s="110"/>
      <c r="K96" s="110"/>
      <c r="L96" s="110"/>
      <c r="M96" s="110"/>
      <c r="N96" s="110"/>
      <c r="O96" s="108"/>
      <c r="P96" s="108"/>
      <c r="Q96" s="108"/>
      <c r="R96" s="108"/>
      <c r="S96" s="110"/>
      <c r="T96" s="59" t="str">
        <f>HYPERLINK("https://www.mpam.mp.br/images-j5/DCCON/2026/TERMOS%20ADITIVOS%20-%20CONVENIOS/2o%20TA%20ao%20ACT%20001-2024.pdf","2º Termo Aditivo")</f>
        <v>2º Termo Aditivo</v>
      </c>
      <c r="U96" s="86"/>
    </row>
    <row r="97" spans="1:262" ht="60" customHeight="1" x14ac:dyDescent="0.25">
      <c r="A97" s="77" t="str">
        <f>HYPERLINK("https://mpam.mp.br/images/ACT_Nº_PR-AM-00035276-2024_-_MPF-MPAM-PGJ_484b1.pdf","TCT 35276/2024 PGJ")</f>
        <v>TCT 35276/2024 PGJ</v>
      </c>
      <c r="B97" s="59" t="s">
        <v>21</v>
      </c>
      <c r="C97" s="59" t="s">
        <v>553</v>
      </c>
      <c r="D97" s="59" t="s">
        <v>554</v>
      </c>
      <c r="E97" s="60" t="s">
        <v>555</v>
      </c>
      <c r="F97" s="57">
        <v>45425</v>
      </c>
      <c r="G97" s="59" t="s">
        <v>556</v>
      </c>
      <c r="H97" s="59" t="s">
        <v>25</v>
      </c>
      <c r="I97" s="59" t="s">
        <v>98</v>
      </c>
      <c r="J97" s="59" t="s">
        <v>557</v>
      </c>
      <c r="K97" s="59" t="s">
        <v>558</v>
      </c>
      <c r="L97" s="59" t="s">
        <v>559</v>
      </c>
      <c r="M97" s="59" t="s">
        <v>29</v>
      </c>
      <c r="N97" s="59" t="s">
        <v>29</v>
      </c>
      <c r="O97" s="87">
        <v>0</v>
      </c>
      <c r="P97" s="59" t="s">
        <v>29</v>
      </c>
      <c r="Q97" s="87">
        <v>0</v>
      </c>
      <c r="R97" s="59" t="s">
        <v>29</v>
      </c>
      <c r="S97" s="59" t="s">
        <v>30</v>
      </c>
      <c r="T97" s="59" t="s">
        <v>31</v>
      </c>
      <c r="U97" s="86"/>
    </row>
    <row r="98" spans="1:262" ht="60" customHeight="1" x14ac:dyDescent="0.25">
      <c r="A98" s="111" t="str">
        <f>HYPERLINK("https://mpam.mp.br/images/ACT_Nº_010-2024-SEAP_-_MPAM-PGJ_b95b1.pdf","TCT 10/2024 PGJ")</f>
        <v>TCT 10/2024 PGJ</v>
      </c>
      <c r="B98" s="110" t="s">
        <v>21</v>
      </c>
      <c r="C98" s="110" t="s">
        <v>560</v>
      </c>
      <c r="D98" s="110" t="s">
        <v>561</v>
      </c>
      <c r="E98" s="114" t="s">
        <v>562</v>
      </c>
      <c r="F98" s="109">
        <v>45422</v>
      </c>
      <c r="G98" s="123">
        <v>46517</v>
      </c>
      <c r="H98" s="110" t="s">
        <v>25</v>
      </c>
      <c r="I98" s="110" t="s">
        <v>465</v>
      </c>
      <c r="J98" s="110" t="s">
        <v>44</v>
      </c>
      <c r="K98" s="110" t="s">
        <v>563</v>
      </c>
      <c r="L98" s="110" t="s">
        <v>564</v>
      </c>
      <c r="M98" s="110" t="s">
        <v>29</v>
      </c>
      <c r="N98" s="110" t="s">
        <v>29</v>
      </c>
      <c r="O98" s="108">
        <v>0</v>
      </c>
      <c r="P98" s="108" t="s">
        <v>29</v>
      </c>
      <c r="Q98" s="108">
        <v>0</v>
      </c>
      <c r="R98" s="108" t="s">
        <v>29</v>
      </c>
      <c r="S98" s="110" t="s">
        <v>30</v>
      </c>
      <c r="T98" s="73" t="str">
        <f>HYPERLINK("https://www.mpam.mp.br/images/1%C2%BA_TA_ao_ACT_n%C2%BA_010-2024_f3ed7.pdf","1º Termo Aditivo")</f>
        <v>1º Termo Aditivo</v>
      </c>
      <c r="U98" s="3"/>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row>
    <row r="99" spans="1:262" ht="60" customHeight="1" x14ac:dyDescent="0.25">
      <c r="A99" s="111"/>
      <c r="B99" s="110"/>
      <c r="C99" s="110"/>
      <c r="D99" s="110"/>
      <c r="E99" s="114"/>
      <c r="F99" s="109"/>
      <c r="G99" s="123"/>
      <c r="H99" s="110"/>
      <c r="I99" s="110"/>
      <c r="J99" s="110"/>
      <c r="K99" s="110"/>
      <c r="L99" s="110"/>
      <c r="M99" s="110"/>
      <c r="N99" s="110"/>
      <c r="O99" s="108"/>
      <c r="P99" s="108"/>
      <c r="Q99" s="108"/>
      <c r="R99" s="108"/>
      <c r="S99" s="110"/>
      <c r="T99" s="73" t="str">
        <f>HYPERLINK("https://www.mpam.mp.br/images-j5/DCCON/2026/TERMOS%20ADITIVOS%20-%20CONVENIOS/2o%20TA%20ao%20ACT%20010-2024%20-%20SEAP.pdf","2º Termo Aditivo")</f>
        <v>2º Termo Aditivo</v>
      </c>
      <c r="U99" s="3"/>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row>
    <row r="100" spans="1:262" ht="60" customHeight="1" x14ac:dyDescent="0.25">
      <c r="A100" s="77" t="str">
        <f>HYPERLINK("https://mpam.mp.br/images/ACT_Nº_09-2024-PGJ-FACULDADE_LA_SALLE_5f57a.pdf","TCT 9/2024 PGJ")</f>
        <v>TCT 9/2024 PGJ</v>
      </c>
      <c r="B100" s="59" t="s">
        <v>21</v>
      </c>
      <c r="C100" s="59" t="s">
        <v>565</v>
      </c>
      <c r="D100" s="59" t="s">
        <v>566</v>
      </c>
      <c r="E100" s="60" t="s">
        <v>567</v>
      </c>
      <c r="F100" s="57">
        <v>45414</v>
      </c>
      <c r="G100" s="59">
        <v>47240</v>
      </c>
      <c r="H100" s="59" t="s">
        <v>25</v>
      </c>
      <c r="I100" s="59" t="s">
        <v>568</v>
      </c>
      <c r="J100" s="59" t="s">
        <v>569</v>
      </c>
      <c r="K100" s="59" t="s">
        <v>570</v>
      </c>
      <c r="L100" s="59" t="s">
        <v>571</v>
      </c>
      <c r="M100" s="59" t="s">
        <v>29</v>
      </c>
      <c r="N100" s="59" t="s">
        <v>29</v>
      </c>
      <c r="O100" s="87">
        <v>0</v>
      </c>
      <c r="P100" s="59" t="s">
        <v>29</v>
      </c>
      <c r="Q100" s="87">
        <v>0</v>
      </c>
      <c r="R100" s="59" t="s">
        <v>29</v>
      </c>
      <c r="S100" s="59" t="s">
        <v>30</v>
      </c>
      <c r="T100" s="59" t="s">
        <v>31</v>
      </c>
      <c r="U100" s="86"/>
    </row>
    <row r="101" spans="1:262" ht="60" customHeight="1" x14ac:dyDescent="0.25">
      <c r="A101" s="77" t="str">
        <f>HYPERLINK("https://mpam.mp.br/images/CV_Nº_00-2024_-_SANTANDER_-_MP-PGJ_82f9e.pdf","TC 0/2023 PGJ")</f>
        <v>TC 0/2023 PGJ</v>
      </c>
      <c r="B101" s="59" t="s">
        <v>353</v>
      </c>
      <c r="C101" s="59" t="s">
        <v>572</v>
      </c>
      <c r="D101" s="59" t="s">
        <v>573</v>
      </c>
      <c r="E101" s="60" t="s">
        <v>574</v>
      </c>
      <c r="F101" s="57">
        <v>45237</v>
      </c>
      <c r="G101" s="66" t="s">
        <v>575</v>
      </c>
      <c r="H101" s="59" t="s">
        <v>25</v>
      </c>
      <c r="I101" s="59" t="s">
        <v>576</v>
      </c>
      <c r="J101" s="59" t="s">
        <v>577</v>
      </c>
      <c r="K101" s="59" t="s">
        <v>578</v>
      </c>
      <c r="L101" s="59" t="s">
        <v>513</v>
      </c>
      <c r="M101" s="59" t="s">
        <v>29</v>
      </c>
      <c r="N101" s="59" t="s">
        <v>29</v>
      </c>
      <c r="O101" s="87">
        <v>0</v>
      </c>
      <c r="P101" s="108" t="s">
        <v>29</v>
      </c>
      <c r="Q101" s="87">
        <v>0</v>
      </c>
      <c r="R101" s="108" t="s">
        <v>29</v>
      </c>
      <c r="S101" s="59" t="s">
        <v>30</v>
      </c>
      <c r="T101" s="73" t="s">
        <v>31</v>
      </c>
      <c r="U101" s="3"/>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row>
    <row r="102" spans="1:262" ht="60" customHeight="1" x14ac:dyDescent="0.25">
      <c r="A102" s="77" t="str">
        <f>HYPERLINK("https://www.mpam.mp.br/images/ACT_Nº_014-2024-MPSP_-_MPAM-PGJ_c84f2.pdf","TCT 14/2024 PGJ")</f>
        <v>TCT 14/2024 PGJ</v>
      </c>
      <c r="B102" s="59" t="s">
        <v>21</v>
      </c>
      <c r="C102" s="59" t="s">
        <v>579</v>
      </c>
      <c r="D102" s="59" t="s">
        <v>580</v>
      </c>
      <c r="E102" s="60" t="s">
        <v>581</v>
      </c>
      <c r="F102" s="57">
        <v>45397</v>
      </c>
      <c r="G102" s="66" t="s">
        <v>582</v>
      </c>
      <c r="H102" s="59" t="s">
        <v>25</v>
      </c>
      <c r="I102" s="59" t="s">
        <v>583</v>
      </c>
      <c r="J102" s="59" t="s">
        <v>584</v>
      </c>
      <c r="K102" s="59" t="s">
        <v>585</v>
      </c>
      <c r="L102" s="59" t="s">
        <v>543</v>
      </c>
      <c r="M102" s="59" t="s">
        <v>29</v>
      </c>
      <c r="N102" s="59" t="s">
        <v>29</v>
      </c>
      <c r="O102" s="87">
        <v>0</v>
      </c>
      <c r="P102" s="108"/>
      <c r="Q102" s="87">
        <v>0</v>
      </c>
      <c r="R102" s="108"/>
      <c r="S102" s="59" t="s">
        <v>30</v>
      </c>
      <c r="T102" s="73" t="s">
        <v>31</v>
      </c>
      <c r="U102" s="3"/>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row>
    <row r="103" spans="1:262" ht="60" customHeight="1" x14ac:dyDescent="0.25">
      <c r="A103" s="77" t="str">
        <f>HYPERLINK("https://www.mpam.mp.br/images/ACT_Nº_08-2024-_PGJ-INSTITUTO_ACARIQUARA_5f127.pdf","TCT 8/2024 PGJ")</f>
        <v>TCT 8/2024 PGJ</v>
      </c>
      <c r="B103" s="59" t="s">
        <v>21</v>
      </c>
      <c r="C103" s="59" t="s">
        <v>586</v>
      </c>
      <c r="D103" s="59" t="s">
        <v>587</v>
      </c>
      <c r="E103" s="60" t="s">
        <v>588</v>
      </c>
      <c r="F103" s="57">
        <v>45398</v>
      </c>
      <c r="G103" s="57" t="s">
        <v>589</v>
      </c>
      <c r="H103" s="59" t="s">
        <v>25</v>
      </c>
      <c r="I103" s="59" t="s">
        <v>590</v>
      </c>
      <c r="J103" s="59" t="s">
        <v>591</v>
      </c>
      <c r="K103" s="59" t="s">
        <v>592</v>
      </c>
      <c r="L103" s="59" t="s">
        <v>521</v>
      </c>
      <c r="M103" s="59" t="s">
        <v>29</v>
      </c>
      <c r="N103" s="59" t="s">
        <v>29</v>
      </c>
      <c r="O103" s="87">
        <v>0</v>
      </c>
      <c r="P103" s="59" t="s">
        <v>29</v>
      </c>
      <c r="Q103" s="87">
        <v>0</v>
      </c>
      <c r="R103" s="59" t="s">
        <v>29</v>
      </c>
      <c r="S103" s="59" t="s">
        <v>30</v>
      </c>
      <c r="T103" s="59" t="s">
        <v>31</v>
      </c>
      <c r="U103" s="86"/>
    </row>
    <row r="104" spans="1:262" ht="60" customHeight="1" x14ac:dyDescent="0.25">
      <c r="A104" s="77" t="str">
        <f>HYPERLINK("https://www.mpam.mp.br/images/ACT_Nº_07-2024-_PGJ-SEDUC_0f90e.pdf","TCT 7/2024 PGJ")</f>
        <v>TCT 7/2024 PGJ</v>
      </c>
      <c r="B104" s="59" t="s">
        <v>21</v>
      </c>
      <c r="C104" s="59" t="s">
        <v>593</v>
      </c>
      <c r="D104" s="59" t="s">
        <v>594</v>
      </c>
      <c r="E104" s="60" t="s">
        <v>595</v>
      </c>
      <c r="F104" s="57">
        <v>45390</v>
      </c>
      <c r="G104" s="59">
        <v>47216</v>
      </c>
      <c r="H104" s="59" t="s">
        <v>25</v>
      </c>
      <c r="I104" s="59" t="s">
        <v>596</v>
      </c>
      <c r="J104" s="59" t="s">
        <v>597</v>
      </c>
      <c r="K104" s="59" t="s">
        <v>598</v>
      </c>
      <c r="L104" s="59" t="s">
        <v>571</v>
      </c>
      <c r="M104" s="59" t="s">
        <v>29</v>
      </c>
      <c r="N104" s="59" t="s">
        <v>29</v>
      </c>
      <c r="O104" s="87">
        <v>0</v>
      </c>
      <c r="P104" s="59" t="s">
        <v>29</v>
      </c>
      <c r="Q104" s="87">
        <v>0</v>
      </c>
      <c r="R104" s="59" t="s">
        <v>29</v>
      </c>
      <c r="S104" s="59" t="s">
        <v>30</v>
      </c>
      <c r="T104" s="59" t="s">
        <v>31</v>
      </c>
      <c r="U104" s="86"/>
    </row>
    <row r="105" spans="1:262" ht="60" customHeight="1" x14ac:dyDescent="0.25">
      <c r="A105" s="77" t="str">
        <f>HYPERLINK("https://www.mpam.mp.br/images/ACT_Nº_005-2024-MPRN_-_MPAM-PGJ_9303c.pdf","TCT 5/2024 PGJ")</f>
        <v>TCT 5/2024 PGJ</v>
      </c>
      <c r="B105" s="59" t="s">
        <v>21</v>
      </c>
      <c r="C105" s="59" t="s">
        <v>599</v>
      </c>
      <c r="D105" s="59" t="s">
        <v>600</v>
      </c>
      <c r="E105" s="60" t="s">
        <v>601</v>
      </c>
      <c r="F105" s="57">
        <v>45371</v>
      </c>
      <c r="G105" s="59" t="s">
        <v>602</v>
      </c>
      <c r="H105" s="59" t="s">
        <v>25</v>
      </c>
      <c r="I105" s="59" t="s">
        <v>117</v>
      </c>
      <c r="J105" s="59" t="s">
        <v>118</v>
      </c>
      <c r="K105" s="59" t="s">
        <v>603</v>
      </c>
      <c r="L105" s="59" t="s">
        <v>543</v>
      </c>
      <c r="M105" s="59" t="s">
        <v>29</v>
      </c>
      <c r="N105" s="59" t="s">
        <v>29</v>
      </c>
      <c r="O105" s="87">
        <v>0</v>
      </c>
      <c r="P105" s="59" t="s">
        <v>29</v>
      </c>
      <c r="Q105" s="87">
        <v>0</v>
      </c>
      <c r="R105" s="59" t="s">
        <v>29</v>
      </c>
      <c r="S105" s="59" t="s">
        <v>30</v>
      </c>
      <c r="T105" s="59" t="s">
        <v>31</v>
      </c>
      <c r="U105" s="86"/>
    </row>
    <row r="106" spans="1:262" ht="60" customHeight="1" x14ac:dyDescent="0.25">
      <c r="A106" s="77" t="str">
        <f>HYPERLINK("https://www.mpam.mp.br/images/ACT_Nº_02-2024-_MP-CREA-AM_4fd9d.pdf","TCT 2/2024 PGJ")</f>
        <v>TCT 2/2024 PGJ</v>
      </c>
      <c r="B106" s="59" t="s">
        <v>21</v>
      </c>
      <c r="C106" s="59" t="s">
        <v>604</v>
      </c>
      <c r="D106" s="59" t="s">
        <v>605</v>
      </c>
      <c r="E106" s="60" t="s">
        <v>606</v>
      </c>
      <c r="F106" s="57">
        <v>45383</v>
      </c>
      <c r="G106" s="59" t="s">
        <v>607</v>
      </c>
      <c r="H106" s="59" t="s">
        <v>25</v>
      </c>
      <c r="I106" s="59" t="s">
        <v>608</v>
      </c>
      <c r="J106" s="59" t="s">
        <v>609</v>
      </c>
      <c r="K106" s="59" t="s">
        <v>610</v>
      </c>
      <c r="L106" s="59" t="s">
        <v>611</v>
      </c>
      <c r="M106" s="59" t="s">
        <v>29</v>
      </c>
      <c r="N106" s="59" t="s">
        <v>29</v>
      </c>
      <c r="O106" s="87">
        <v>0</v>
      </c>
      <c r="P106" s="59" t="s">
        <v>29</v>
      </c>
      <c r="Q106" s="87">
        <v>0</v>
      </c>
      <c r="R106" s="59" t="s">
        <v>29</v>
      </c>
      <c r="S106" s="59" t="s">
        <v>30</v>
      </c>
      <c r="T106" s="59" t="s">
        <v>31</v>
      </c>
      <c r="U106" s="86"/>
    </row>
    <row r="107" spans="1:262" ht="60" customHeight="1" x14ac:dyDescent="0.25">
      <c r="A107" s="77" t="str">
        <f>HYPERLINK("https://www.mpam.mp.br/images/Termo_de_Adesão_e_Compromisso_snº-2024-MDHC_53854.pdf","0/2024 PGJ")</f>
        <v>0/2024 PGJ</v>
      </c>
      <c r="B107" s="59" t="s">
        <v>32</v>
      </c>
      <c r="C107" s="59" t="s">
        <v>612</v>
      </c>
      <c r="D107" s="59" t="s">
        <v>613</v>
      </c>
      <c r="E107" s="60" t="s">
        <v>614</v>
      </c>
      <c r="F107" s="57">
        <v>45351</v>
      </c>
      <c r="G107" s="57" t="s">
        <v>615</v>
      </c>
      <c r="H107" s="59" t="s">
        <v>25</v>
      </c>
      <c r="I107" s="59" t="s">
        <v>518</v>
      </c>
      <c r="J107" s="59" t="s">
        <v>519</v>
      </c>
      <c r="K107" s="59"/>
      <c r="L107" s="59" t="s">
        <v>616</v>
      </c>
      <c r="M107" s="59" t="s">
        <v>29</v>
      </c>
      <c r="N107" s="59" t="s">
        <v>29</v>
      </c>
      <c r="O107" s="87">
        <v>0</v>
      </c>
      <c r="P107" s="59" t="s">
        <v>29</v>
      </c>
      <c r="Q107" s="87">
        <v>0</v>
      </c>
      <c r="R107" s="59" t="s">
        <v>29</v>
      </c>
      <c r="S107" s="59" t="s">
        <v>30</v>
      </c>
      <c r="T107" s="59" t="s">
        <v>31</v>
      </c>
      <c r="U107" s="86"/>
    </row>
    <row r="108" spans="1:262" ht="60" customHeight="1" x14ac:dyDescent="0.25">
      <c r="A108" s="77" t="str">
        <f>HYPERLINK("https://www.mpam.mp.br/images/ACT_Nº_19-2024-MPDFT_-_MP-PGJ_a8e8c.pdf","TCT 19/2023 PGJ")</f>
        <v>TCT 19/2023 PGJ</v>
      </c>
      <c r="B108" s="59" t="s">
        <v>21</v>
      </c>
      <c r="C108" s="59" t="s">
        <v>617</v>
      </c>
      <c r="D108" s="59" t="s">
        <v>618</v>
      </c>
      <c r="E108" s="60" t="s">
        <v>619</v>
      </c>
      <c r="F108" s="57">
        <v>45266</v>
      </c>
      <c r="G108" s="59">
        <v>47093</v>
      </c>
      <c r="H108" s="59" t="s">
        <v>25</v>
      </c>
      <c r="I108" s="59" t="s">
        <v>68</v>
      </c>
      <c r="J108" s="59" t="s">
        <v>69</v>
      </c>
      <c r="K108" s="59" t="s">
        <v>292</v>
      </c>
      <c r="L108" s="59" t="s">
        <v>543</v>
      </c>
      <c r="M108" s="59" t="s">
        <v>29</v>
      </c>
      <c r="N108" s="59" t="s">
        <v>29</v>
      </c>
      <c r="O108" s="87">
        <v>0</v>
      </c>
      <c r="P108" s="59" t="s">
        <v>29</v>
      </c>
      <c r="Q108" s="87">
        <v>0</v>
      </c>
      <c r="R108" s="59" t="s">
        <v>29</v>
      </c>
      <c r="S108" s="59" t="s">
        <v>30</v>
      </c>
      <c r="T108" s="59" t="s">
        <v>31</v>
      </c>
      <c r="U108" s="86"/>
    </row>
    <row r="109" spans="1:262" ht="60" customHeight="1" x14ac:dyDescent="0.25">
      <c r="A109" s="77" t="str">
        <f>HYPERLINK("https://www.mpam.mp.br/images/ACT_Nº_12-2024-TJAM_-_MP-PGJ_ed184.pdf","TCT 12/2024 PGJ")</f>
        <v>TCT 12/2024 PGJ</v>
      </c>
      <c r="B109" s="59" t="s">
        <v>21</v>
      </c>
      <c r="C109" s="59" t="s">
        <v>620</v>
      </c>
      <c r="D109" s="59" t="s">
        <v>618</v>
      </c>
      <c r="E109" s="60" t="s">
        <v>621</v>
      </c>
      <c r="F109" s="57">
        <v>45341</v>
      </c>
      <c r="G109" s="59" t="s">
        <v>622</v>
      </c>
      <c r="H109" s="59" t="s">
        <v>25</v>
      </c>
      <c r="I109" s="59" t="s">
        <v>166</v>
      </c>
      <c r="J109" s="59" t="s">
        <v>167</v>
      </c>
      <c r="K109" s="59" t="s">
        <v>623</v>
      </c>
      <c r="L109" s="59" t="s">
        <v>624</v>
      </c>
      <c r="M109" s="59" t="s">
        <v>29</v>
      </c>
      <c r="N109" s="59" t="s">
        <v>29</v>
      </c>
      <c r="O109" s="87">
        <v>0</v>
      </c>
      <c r="P109" s="59" t="s">
        <v>29</v>
      </c>
      <c r="Q109" s="87">
        <v>0</v>
      </c>
      <c r="R109" s="59" t="s">
        <v>29</v>
      </c>
      <c r="S109" s="59" t="s">
        <v>30</v>
      </c>
      <c r="T109" s="59" t="str">
        <f>HYPERLINK("https://mpam.mp.br/images/1º_TA_ao_ACT_nº_012_2024_-_TJAM_fd85e.pdf","1º Termo Aditivo")</f>
        <v>1º Termo Aditivo</v>
      </c>
      <c r="U109" s="86"/>
    </row>
    <row r="110" spans="1:262" ht="60" customHeight="1" x14ac:dyDescent="0.25">
      <c r="A110" s="77" t="str">
        <f>HYPERLINK("https://www.mpam.mp.br/images/ACT_Nº_06-2024-_MP-SEMED_55b1d.pdf","TCT 6/2024 PGJ")</f>
        <v>TCT 6/2024 PGJ</v>
      </c>
      <c r="B110" s="59" t="s">
        <v>21</v>
      </c>
      <c r="C110" s="59" t="s">
        <v>625</v>
      </c>
      <c r="D110" s="59" t="s">
        <v>626</v>
      </c>
      <c r="E110" s="60" t="s">
        <v>627</v>
      </c>
      <c r="F110" s="57">
        <v>45344</v>
      </c>
      <c r="G110" s="59" t="s">
        <v>628</v>
      </c>
      <c r="H110" s="59" t="s">
        <v>25</v>
      </c>
      <c r="I110" s="59" t="s">
        <v>629</v>
      </c>
      <c r="J110" s="59" t="s">
        <v>630</v>
      </c>
      <c r="K110" s="59" t="s">
        <v>631</v>
      </c>
      <c r="L110" s="59" t="s">
        <v>571</v>
      </c>
      <c r="M110" s="59" t="s">
        <v>29</v>
      </c>
      <c r="N110" s="59" t="s">
        <v>29</v>
      </c>
      <c r="O110" s="87">
        <v>0</v>
      </c>
      <c r="P110" s="59" t="s">
        <v>29</v>
      </c>
      <c r="Q110" s="87">
        <v>0</v>
      </c>
      <c r="R110" s="59" t="s">
        <v>29</v>
      </c>
      <c r="S110" s="59" t="s">
        <v>30</v>
      </c>
      <c r="T110" s="59" t="s">
        <v>31</v>
      </c>
      <c r="U110" s="86"/>
    </row>
    <row r="111" spans="1:262" ht="60" customHeight="1" x14ac:dyDescent="0.25">
      <c r="A111" s="77" t="str">
        <f>HYPERLINK("https://www.mpam.mp.br/images/ACT_Nº_01-2024-MP-PGJ-SEMASC_c1f2b.pdf","TCT 1/2024 PGJ")</f>
        <v>TCT 1/2024 PGJ</v>
      </c>
      <c r="B111" s="59" t="s">
        <v>21</v>
      </c>
      <c r="C111" s="59" t="s">
        <v>632</v>
      </c>
      <c r="D111" s="59" t="s">
        <v>633</v>
      </c>
      <c r="E111" s="60" t="s">
        <v>634</v>
      </c>
      <c r="F111" s="57">
        <v>45321</v>
      </c>
      <c r="G111" s="57" t="s">
        <v>635</v>
      </c>
      <c r="H111" s="59" t="s">
        <v>636</v>
      </c>
      <c r="I111" s="59" t="s">
        <v>637</v>
      </c>
      <c r="J111" s="59" t="s">
        <v>638</v>
      </c>
      <c r="K111" s="59" t="s">
        <v>639</v>
      </c>
      <c r="L111" s="59" t="s">
        <v>640</v>
      </c>
      <c r="M111" s="59" t="s">
        <v>29</v>
      </c>
      <c r="N111" s="59" t="s">
        <v>29</v>
      </c>
      <c r="O111" s="87">
        <v>0</v>
      </c>
      <c r="P111" s="59" t="s">
        <v>29</v>
      </c>
      <c r="Q111" s="87">
        <v>0</v>
      </c>
      <c r="R111" s="59" t="s">
        <v>29</v>
      </c>
      <c r="S111" s="59" t="s">
        <v>30</v>
      </c>
      <c r="T111" s="59" t="s">
        <v>31</v>
      </c>
      <c r="U111" s="86"/>
    </row>
    <row r="112" spans="1:262" ht="60" customHeight="1" x14ac:dyDescent="0.25">
      <c r="A112" s="77" t="str">
        <f>HYPERLINK("https://www.mpam.mp.br/images/Termo_de_Adesão_ao_Acordo_Corporativo_nº_008-2020-MGISP_71089.pdf","0/2024 PGJ")</f>
        <v>0/2024 PGJ</v>
      </c>
      <c r="B112" s="59" t="s">
        <v>32</v>
      </c>
      <c r="C112" s="59" t="s">
        <v>641</v>
      </c>
      <c r="D112" s="59" t="s">
        <v>642</v>
      </c>
      <c r="E112" s="60" t="s">
        <v>643</v>
      </c>
      <c r="F112" s="57">
        <v>45315</v>
      </c>
      <c r="G112" s="59" t="s">
        <v>644</v>
      </c>
      <c r="H112" s="59" t="s">
        <v>25</v>
      </c>
      <c r="I112" s="59" t="s">
        <v>645</v>
      </c>
      <c r="J112" s="59" t="s">
        <v>646</v>
      </c>
      <c r="K112" s="59" t="s">
        <v>647</v>
      </c>
      <c r="L112" s="59" t="s">
        <v>648</v>
      </c>
      <c r="M112" s="59" t="s">
        <v>29</v>
      </c>
      <c r="N112" s="59" t="s">
        <v>29</v>
      </c>
      <c r="O112" s="87">
        <v>0</v>
      </c>
      <c r="P112" s="59" t="s">
        <v>29</v>
      </c>
      <c r="Q112" s="87">
        <v>0</v>
      </c>
      <c r="R112" s="59" t="s">
        <v>29</v>
      </c>
      <c r="S112" s="59" t="s">
        <v>30</v>
      </c>
      <c r="T112" s="83" t="s">
        <v>31</v>
      </c>
      <c r="U112" s="86"/>
    </row>
    <row r="113" spans="1:262" ht="60" customHeight="1" x14ac:dyDescent="0.25">
      <c r="A113" s="77" t="str">
        <f>HYPERLINK("https://www.mpam.mp.br/images/ACT_Nº_20-2023-MPMT_-_MP-PGJ_99ced.pdf","TCT 20/2023 PGJ")</f>
        <v>TCT 20/2023 PGJ</v>
      </c>
      <c r="B113" s="59" t="s">
        <v>21</v>
      </c>
      <c r="C113" s="59" t="s">
        <v>649</v>
      </c>
      <c r="D113" s="59" t="s">
        <v>642</v>
      </c>
      <c r="E113" s="60" t="s">
        <v>650</v>
      </c>
      <c r="F113" s="57">
        <v>45300</v>
      </c>
      <c r="G113" s="59">
        <v>47127</v>
      </c>
      <c r="H113" s="59" t="s">
        <v>25</v>
      </c>
      <c r="I113" s="59" t="s">
        <v>651</v>
      </c>
      <c r="J113" s="59" t="s">
        <v>652</v>
      </c>
      <c r="K113" s="59" t="s">
        <v>653</v>
      </c>
      <c r="L113" s="59" t="s">
        <v>654</v>
      </c>
      <c r="M113" s="59" t="s">
        <v>29</v>
      </c>
      <c r="N113" s="59" t="s">
        <v>29</v>
      </c>
      <c r="O113" s="87">
        <v>0</v>
      </c>
      <c r="P113" s="59" t="s">
        <v>29</v>
      </c>
      <c r="Q113" s="87">
        <v>0</v>
      </c>
      <c r="R113" s="59" t="s">
        <v>29</v>
      </c>
      <c r="S113" s="59" t="s">
        <v>30</v>
      </c>
      <c r="T113" s="59" t="s">
        <v>31</v>
      </c>
      <c r="U113" s="86"/>
    </row>
    <row r="114" spans="1:262" ht="60" customHeight="1" x14ac:dyDescent="0.25">
      <c r="A114" s="77" t="str">
        <f>HYPERLINK("https://www.mpam.mp.br/images/ACT_Nº_21-2023-_PGJ-FUA-UFAM_833fc.pdf","TCT 21/2023 PGJ")</f>
        <v>TCT 21/2023 PGJ</v>
      </c>
      <c r="B114" s="59" t="s">
        <v>21</v>
      </c>
      <c r="C114" s="59" t="s">
        <v>655</v>
      </c>
      <c r="D114" s="59" t="s">
        <v>656</v>
      </c>
      <c r="E114" s="60" t="s">
        <v>657</v>
      </c>
      <c r="F114" s="57">
        <v>45282</v>
      </c>
      <c r="G114" s="59" t="s">
        <v>658</v>
      </c>
      <c r="H114" s="59" t="s">
        <v>25</v>
      </c>
      <c r="I114" s="59" t="s">
        <v>659</v>
      </c>
      <c r="J114" s="59" t="s">
        <v>660</v>
      </c>
      <c r="K114" s="59" t="s">
        <v>661</v>
      </c>
      <c r="L114" s="59" t="s">
        <v>662</v>
      </c>
      <c r="M114" s="59" t="s">
        <v>29</v>
      </c>
      <c r="N114" s="59" t="s">
        <v>29</v>
      </c>
      <c r="O114" s="87">
        <v>0</v>
      </c>
      <c r="P114" s="59" t="s">
        <v>29</v>
      </c>
      <c r="Q114" s="87">
        <v>0</v>
      </c>
      <c r="R114" s="59" t="s">
        <v>29</v>
      </c>
      <c r="S114" s="59" t="s">
        <v>30</v>
      </c>
      <c r="T114" s="59" t="s">
        <v>31</v>
      </c>
      <c r="U114" s="86"/>
    </row>
    <row r="115" spans="1:262" ht="60" customHeight="1" x14ac:dyDescent="0.25">
      <c r="A115" s="77" t="str">
        <f>HYPERLINK("https://www.mpam.mp.br/images/ACT_Nº_18-2023-_PGJ-IMMU_a645c.pdf","TCT 18/2023 PGJ")</f>
        <v>TCT 18/2023 PGJ</v>
      </c>
      <c r="B115" s="59" t="s">
        <v>21</v>
      </c>
      <c r="C115" s="59" t="s">
        <v>663</v>
      </c>
      <c r="D115" s="59" t="s">
        <v>656</v>
      </c>
      <c r="E115" s="60" t="s">
        <v>664</v>
      </c>
      <c r="F115" s="57">
        <v>45279</v>
      </c>
      <c r="G115" s="59" t="s">
        <v>665</v>
      </c>
      <c r="H115" s="59" t="s">
        <v>25</v>
      </c>
      <c r="I115" s="59" t="s">
        <v>666</v>
      </c>
      <c r="J115" s="59" t="s">
        <v>667</v>
      </c>
      <c r="K115" s="59" t="s">
        <v>668</v>
      </c>
      <c r="L115" s="59" t="s">
        <v>669</v>
      </c>
      <c r="M115" s="59" t="s">
        <v>29</v>
      </c>
      <c r="N115" s="59" t="s">
        <v>29</v>
      </c>
      <c r="O115" s="87">
        <v>0</v>
      </c>
      <c r="P115" s="59" t="s">
        <v>29</v>
      </c>
      <c r="Q115" s="87">
        <v>0</v>
      </c>
      <c r="R115" s="59" t="s">
        <v>29</v>
      </c>
      <c r="S115" s="59" t="s">
        <v>30</v>
      </c>
      <c r="T115" s="59" t="s">
        <v>31</v>
      </c>
      <c r="U115" s="86"/>
    </row>
    <row r="116" spans="1:262" ht="60" customHeight="1" x14ac:dyDescent="0.25">
      <c r="A116" s="77" t="str">
        <f>HYPERLINK("https://www.mpam.mp.br/images/Termo_de_Adesão_ao_Programa_REDE-LAB-_MJSP_a815c.pdf","TCL 0/2023 PGJ")</f>
        <v>TCL 0/2023 PGJ</v>
      </c>
      <c r="B116" s="59" t="s">
        <v>32</v>
      </c>
      <c r="C116" s="59" t="s">
        <v>670</v>
      </c>
      <c r="D116" s="59" t="s">
        <v>656</v>
      </c>
      <c r="E116" s="60" t="s">
        <v>671</v>
      </c>
      <c r="F116" s="57">
        <v>45275</v>
      </c>
      <c r="G116" s="57" t="s">
        <v>672</v>
      </c>
      <c r="H116" s="59" t="s">
        <v>25</v>
      </c>
      <c r="I116" s="59" t="s">
        <v>673</v>
      </c>
      <c r="J116" s="59" t="s">
        <v>674</v>
      </c>
      <c r="K116" s="59" t="s">
        <v>675</v>
      </c>
      <c r="L116" s="59" t="s">
        <v>676</v>
      </c>
      <c r="M116" s="59" t="s">
        <v>29</v>
      </c>
      <c r="N116" s="59" t="s">
        <v>29</v>
      </c>
      <c r="O116" s="87">
        <v>0</v>
      </c>
      <c r="P116" s="59" t="s">
        <v>29</v>
      </c>
      <c r="Q116" s="87">
        <v>0</v>
      </c>
      <c r="R116" s="59" t="s">
        <v>29</v>
      </c>
      <c r="S116" s="59" t="s">
        <v>30</v>
      </c>
      <c r="T116" s="59" t="s">
        <v>31</v>
      </c>
    </row>
    <row r="117" spans="1:262" ht="60" customHeight="1" x14ac:dyDescent="0.25">
      <c r="A117" s="77" t="str">
        <f>HYPERLINK("https://www.mpam.mp.br/images/ACT_Nº_59-2023-TJAM-_TJAM_90bb8.pdf","TCT 59/2023 PGJ")</f>
        <v>TCT 59/2023 PGJ</v>
      </c>
      <c r="B117" s="59" t="s">
        <v>21</v>
      </c>
      <c r="C117" s="59" t="s">
        <v>677</v>
      </c>
      <c r="D117" s="59" t="s">
        <v>656</v>
      </c>
      <c r="E117" s="60" t="s">
        <v>678</v>
      </c>
      <c r="F117" s="57">
        <v>45273</v>
      </c>
      <c r="G117" s="57" t="s">
        <v>679</v>
      </c>
      <c r="H117" s="59" t="s">
        <v>25</v>
      </c>
      <c r="I117" s="59" t="s">
        <v>166</v>
      </c>
      <c r="J117" s="59" t="s">
        <v>167</v>
      </c>
      <c r="K117" s="59" t="s">
        <v>680</v>
      </c>
      <c r="L117" s="59" t="s">
        <v>681</v>
      </c>
      <c r="M117" s="59" t="s">
        <v>29</v>
      </c>
      <c r="N117" s="59" t="s">
        <v>29</v>
      </c>
      <c r="O117" s="87">
        <v>0</v>
      </c>
      <c r="P117" s="59" t="s">
        <v>29</v>
      </c>
      <c r="Q117" s="87">
        <v>0</v>
      </c>
      <c r="R117" s="59" t="s">
        <v>29</v>
      </c>
      <c r="S117" s="59" t="s">
        <v>30</v>
      </c>
      <c r="T117" s="59" t="str">
        <f>HYPERLINK("https://www.mpam.mp.br/images/1%C2%BA_TA_ACT_059-2023_-_TJAM_31ca0.pdf","1º Termo Aditivo")</f>
        <v>1º Termo Aditivo</v>
      </c>
      <c r="U117" s="86"/>
    </row>
    <row r="118" spans="1:262" ht="60" customHeight="1" x14ac:dyDescent="0.25">
      <c r="A118" s="77" t="str">
        <f>HYPERLINK("https://www.mpam.mp.br/images/ACT_Nº_16-2023-_PGJ-SEDUC-SINEPE_d51db.pdf","TCT 16/2023 PGJ")</f>
        <v>TCT 16/2023 PGJ</v>
      </c>
      <c r="B118" s="59" t="s">
        <v>21</v>
      </c>
      <c r="C118" s="59" t="s">
        <v>682</v>
      </c>
      <c r="D118" s="59" t="s">
        <v>683</v>
      </c>
      <c r="E118" s="60" t="s">
        <v>684</v>
      </c>
      <c r="F118" s="57">
        <v>45247</v>
      </c>
      <c r="G118" s="57" t="s">
        <v>685</v>
      </c>
      <c r="H118" s="59" t="s">
        <v>25</v>
      </c>
      <c r="I118" s="59" t="s">
        <v>686</v>
      </c>
      <c r="J118" s="59" t="s">
        <v>687</v>
      </c>
      <c r="K118" s="59" t="s">
        <v>688</v>
      </c>
      <c r="L118" s="59" t="s">
        <v>689</v>
      </c>
      <c r="M118" s="59" t="s">
        <v>29</v>
      </c>
      <c r="N118" s="59" t="s">
        <v>29</v>
      </c>
      <c r="O118" s="87">
        <v>0</v>
      </c>
      <c r="P118" s="59" t="s">
        <v>29</v>
      </c>
      <c r="Q118" s="87">
        <v>0</v>
      </c>
      <c r="R118" s="59" t="s">
        <v>29</v>
      </c>
      <c r="S118" s="59" t="s">
        <v>30</v>
      </c>
      <c r="T118" s="59" t="s">
        <v>31</v>
      </c>
      <c r="U118" s="86"/>
    </row>
    <row r="119" spans="1:262" ht="60" customHeight="1" x14ac:dyDescent="0.25">
      <c r="A119" s="77" t="str">
        <f>HYPERLINK("https://www.mpam.mp.br/images/ACT_Nº_11-2023-_PGJ-CETAM_725ee.pdf","TCT 11/2023 PGJ")</f>
        <v>TCT 11/2023 PGJ</v>
      </c>
      <c r="B119" s="59" t="s">
        <v>21</v>
      </c>
      <c r="C119" s="59" t="s">
        <v>690</v>
      </c>
      <c r="D119" s="59" t="s">
        <v>691</v>
      </c>
      <c r="E119" s="60" t="s">
        <v>692</v>
      </c>
      <c r="F119" s="57" t="s">
        <v>693</v>
      </c>
      <c r="G119" s="59">
        <v>46685</v>
      </c>
      <c r="H119" s="59" t="s">
        <v>25</v>
      </c>
      <c r="I119" s="59" t="s">
        <v>401</v>
      </c>
      <c r="J119" s="59" t="s">
        <v>402</v>
      </c>
      <c r="K119" s="59" t="s">
        <v>694</v>
      </c>
      <c r="L119" s="59" t="s">
        <v>689</v>
      </c>
      <c r="M119" s="59" t="s">
        <v>29</v>
      </c>
      <c r="N119" s="59" t="s">
        <v>29</v>
      </c>
      <c r="O119" s="87">
        <v>0</v>
      </c>
      <c r="P119" s="59" t="s">
        <v>29</v>
      </c>
      <c r="Q119" s="87">
        <v>0</v>
      </c>
      <c r="R119" s="59" t="s">
        <v>29</v>
      </c>
      <c r="S119" s="59" t="s">
        <v>30</v>
      </c>
      <c r="T119" s="59" t="str">
        <f>HYPERLINK("https://www.mpam.mp.br/images/1%C2%BA_TA_ao_ACT_011-2023_ab63e.pdf","1º Termo Aditivo")</f>
        <v>1º Termo Aditivo</v>
      </c>
      <c r="U119" s="86"/>
    </row>
    <row r="120" spans="1:262" ht="60" customHeight="1" x14ac:dyDescent="0.25">
      <c r="A120" s="77" t="str">
        <f>HYPERLINK("https://www.mpam.mp.br/images/CV_Nº_02-2023_-_BB_-_MP-PGJ_8d7ca.pdf","TC 2/2023 PGJ")</f>
        <v>TC 2/2023 PGJ</v>
      </c>
      <c r="B120" s="59" t="s">
        <v>695</v>
      </c>
      <c r="C120" s="59" t="s">
        <v>696</v>
      </c>
      <c r="D120" s="59" t="s">
        <v>697</v>
      </c>
      <c r="E120" s="60" t="s">
        <v>698</v>
      </c>
      <c r="F120" s="57">
        <v>45207</v>
      </c>
      <c r="G120" s="59">
        <v>47034</v>
      </c>
      <c r="H120" s="59" t="s">
        <v>25</v>
      </c>
      <c r="I120" s="59" t="s">
        <v>699</v>
      </c>
      <c r="J120" s="59" t="s">
        <v>700</v>
      </c>
      <c r="K120" s="59" t="s">
        <v>701</v>
      </c>
      <c r="L120" s="59" t="s">
        <v>702</v>
      </c>
      <c r="M120" s="59" t="s">
        <v>29</v>
      </c>
      <c r="N120" s="59" t="s">
        <v>29</v>
      </c>
      <c r="O120" s="87">
        <v>0</v>
      </c>
      <c r="P120" s="59" t="s">
        <v>29</v>
      </c>
      <c r="Q120" s="87">
        <v>0</v>
      </c>
      <c r="R120" s="59" t="s">
        <v>29</v>
      </c>
      <c r="S120" s="59" t="s">
        <v>30</v>
      </c>
      <c r="T120" s="59" t="s">
        <v>31</v>
      </c>
      <c r="U120" s="86"/>
    </row>
    <row r="121" spans="1:262" ht="60" customHeight="1" x14ac:dyDescent="0.25">
      <c r="A121" s="77" t="str">
        <f>HYPERLINK("https://www.mpam.mp.br/images/ACT_Nº_15-2023-_PGJ-UEA_0a058.pdf","TCT 15/2023 PGJ")</f>
        <v>TCT 15/2023 PGJ</v>
      </c>
      <c r="B121" s="59" t="s">
        <v>21</v>
      </c>
      <c r="C121" s="59" t="s">
        <v>703</v>
      </c>
      <c r="D121" s="59" t="s">
        <v>704</v>
      </c>
      <c r="E121" s="60" t="s">
        <v>705</v>
      </c>
      <c r="F121" s="57">
        <v>45188</v>
      </c>
      <c r="G121" s="59" t="s">
        <v>200</v>
      </c>
      <c r="H121" s="59" t="s">
        <v>25</v>
      </c>
      <c r="I121" s="59" t="s">
        <v>330</v>
      </c>
      <c r="J121" s="59" t="s">
        <v>331</v>
      </c>
      <c r="K121" s="59" t="s">
        <v>706</v>
      </c>
      <c r="L121" s="59" t="s">
        <v>707</v>
      </c>
      <c r="M121" s="59" t="s">
        <v>29</v>
      </c>
      <c r="N121" s="59" t="s">
        <v>29</v>
      </c>
      <c r="O121" s="87">
        <v>0</v>
      </c>
      <c r="P121" s="59" t="s">
        <v>29</v>
      </c>
      <c r="Q121" s="87">
        <v>0</v>
      </c>
      <c r="R121" s="59" t="s">
        <v>29</v>
      </c>
      <c r="S121" s="59" t="s">
        <v>30</v>
      </c>
      <c r="T121" s="59" t="s">
        <v>31</v>
      </c>
      <c r="U121" s="86"/>
    </row>
    <row r="122" spans="1:262" ht="60" customHeight="1" x14ac:dyDescent="0.25">
      <c r="A122" s="77" t="str">
        <f>HYPERLINK("https://www.mpam.mp.br/images/ACT_Nº_13-2023-_PGJ-SINEP_026f4.pdf","TCT 13/2023 PGJ")</f>
        <v>TCT 13/2023 PGJ</v>
      </c>
      <c r="B122" s="59" t="s">
        <v>21</v>
      </c>
      <c r="C122" s="59" t="s">
        <v>703</v>
      </c>
      <c r="D122" s="59" t="s">
        <v>708</v>
      </c>
      <c r="E122" s="60" t="s">
        <v>705</v>
      </c>
      <c r="F122" s="57">
        <v>45168</v>
      </c>
      <c r="G122" s="59" t="s">
        <v>709</v>
      </c>
      <c r="H122" s="59" t="s">
        <v>25</v>
      </c>
      <c r="I122" s="59" t="s">
        <v>710</v>
      </c>
      <c r="J122" s="59" t="s">
        <v>687</v>
      </c>
      <c r="K122" s="59" t="s">
        <v>711</v>
      </c>
      <c r="L122" s="59" t="s">
        <v>707</v>
      </c>
      <c r="M122" s="59" t="s">
        <v>29</v>
      </c>
      <c r="N122" s="59" t="s">
        <v>29</v>
      </c>
      <c r="O122" s="87">
        <v>0</v>
      </c>
      <c r="P122" s="59" t="s">
        <v>29</v>
      </c>
      <c r="Q122" s="87">
        <v>0</v>
      </c>
      <c r="R122" s="59" t="s">
        <v>29</v>
      </c>
      <c r="S122" s="59" t="s">
        <v>30</v>
      </c>
      <c r="T122" s="73" t="s">
        <v>31</v>
      </c>
      <c r="U122" s="86"/>
    </row>
    <row r="123" spans="1:262" ht="60" customHeight="1" x14ac:dyDescent="0.25">
      <c r="A123" s="77" t="str">
        <f>HYPERLINK("https://www.mpam.mp.br/images/ACT_Nº_14-2023-AGEMAN-_MP-PGJ_b5c0f.pdf","TCT 14/2023 PGJ")</f>
        <v>TCT 14/2023 PGJ</v>
      </c>
      <c r="B123" s="59" t="s">
        <v>21</v>
      </c>
      <c r="C123" s="59" t="s">
        <v>712</v>
      </c>
      <c r="D123" s="59" t="s">
        <v>713</v>
      </c>
      <c r="E123" s="60" t="s">
        <v>714</v>
      </c>
      <c r="F123" s="57">
        <v>45167</v>
      </c>
      <c r="G123" s="59" t="s">
        <v>715</v>
      </c>
      <c r="H123" s="59" t="s">
        <v>25</v>
      </c>
      <c r="I123" s="59" t="s">
        <v>716</v>
      </c>
      <c r="J123" s="59" t="s">
        <v>717</v>
      </c>
      <c r="K123" s="59" t="s">
        <v>718</v>
      </c>
      <c r="L123" s="59" t="s">
        <v>719</v>
      </c>
      <c r="M123" s="59" t="s">
        <v>29</v>
      </c>
      <c r="N123" s="59" t="s">
        <v>29</v>
      </c>
      <c r="O123" s="87">
        <v>0</v>
      </c>
      <c r="P123" s="59" t="s">
        <v>29</v>
      </c>
      <c r="Q123" s="87">
        <v>0</v>
      </c>
      <c r="R123" s="59" t="s">
        <v>29</v>
      </c>
      <c r="S123" s="59" t="s">
        <v>30</v>
      </c>
      <c r="T123" s="59" t="s">
        <v>31</v>
      </c>
      <c r="U123" s="86"/>
    </row>
    <row r="124" spans="1:262" ht="60" customHeight="1" x14ac:dyDescent="0.25">
      <c r="A124" s="77" t="str">
        <f>HYPERLINK("https://www.mpam.mp.br/images/ACT_Nº_07-2023-_MPPB-PGJ_fd89c.pdf","TCT 7/2023 PGJ")</f>
        <v>TCT 7/2023 PGJ</v>
      </c>
      <c r="B124" s="91" t="s">
        <v>21</v>
      </c>
      <c r="C124" s="92" t="s">
        <v>720</v>
      </c>
      <c r="D124" s="59" t="s">
        <v>704</v>
      </c>
      <c r="E124" s="60" t="s">
        <v>721</v>
      </c>
      <c r="F124" s="57">
        <v>45156</v>
      </c>
      <c r="G124" s="57" t="s">
        <v>722</v>
      </c>
      <c r="H124" s="57" t="s">
        <v>25</v>
      </c>
      <c r="I124" s="57" t="s">
        <v>723</v>
      </c>
      <c r="J124" s="57" t="s">
        <v>270</v>
      </c>
      <c r="K124" s="57" t="s">
        <v>724</v>
      </c>
      <c r="L124" s="59" t="s">
        <v>725</v>
      </c>
      <c r="M124" s="59" t="s">
        <v>29</v>
      </c>
      <c r="N124" s="59" t="s">
        <v>29</v>
      </c>
      <c r="O124" s="87">
        <v>0</v>
      </c>
      <c r="P124" s="59" t="s">
        <v>29</v>
      </c>
      <c r="Q124" s="82">
        <v>0</v>
      </c>
      <c r="R124" s="59" t="s">
        <v>29</v>
      </c>
      <c r="S124" s="59" t="s">
        <v>30</v>
      </c>
      <c r="T124" s="73" t="s">
        <v>31</v>
      </c>
    </row>
    <row r="125" spans="1:262" s="10" customFormat="1" ht="60" customHeight="1" x14ac:dyDescent="0.25">
      <c r="A125" s="77" t="str">
        <f>HYPERLINK("https://www.mpam.mp.br/images/ACT_Nº_03-2023-_MP-PGJ_-_RECOMEÇAR_0420e.pdf","TCT 3/2023 PGJ")</f>
        <v>TCT 3/2023 PGJ</v>
      </c>
      <c r="B125" s="59" t="s">
        <v>21</v>
      </c>
      <c r="C125" s="59" t="s">
        <v>726</v>
      </c>
      <c r="D125" s="59" t="s">
        <v>727</v>
      </c>
      <c r="E125" s="60" t="s">
        <v>728</v>
      </c>
      <c r="F125" s="57">
        <v>45138</v>
      </c>
      <c r="G125" s="57" t="s">
        <v>280</v>
      </c>
      <c r="H125" s="59" t="s">
        <v>25</v>
      </c>
      <c r="I125" s="59" t="s">
        <v>729</v>
      </c>
      <c r="J125" s="59" t="s">
        <v>730</v>
      </c>
      <c r="K125" s="59" t="s">
        <v>731</v>
      </c>
      <c r="L125" s="59" t="s">
        <v>732</v>
      </c>
      <c r="M125" s="59" t="s">
        <v>29</v>
      </c>
      <c r="N125" s="59" t="s">
        <v>29</v>
      </c>
      <c r="O125" s="87">
        <v>0</v>
      </c>
      <c r="P125" s="59" t="s">
        <v>29</v>
      </c>
      <c r="Q125" s="87">
        <v>0</v>
      </c>
      <c r="R125" s="59" t="s">
        <v>29</v>
      </c>
      <c r="S125" s="59" t="s">
        <v>30</v>
      </c>
      <c r="T125" s="59" t="s">
        <v>31</v>
      </c>
      <c r="U125" s="86"/>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row>
    <row r="126" spans="1:262" s="10" customFormat="1" ht="60" customHeight="1" x14ac:dyDescent="0.25">
      <c r="A126" s="77" t="str">
        <f>HYPERLINK("https://www.mpam.mp.br/images/ACT_Nº_08-2023-_MP-SEAP_cad2d.pdf","TCT 8/2023 PGJ")</f>
        <v>TCT 8/2023 PGJ</v>
      </c>
      <c r="B126" s="59" t="s">
        <v>21</v>
      </c>
      <c r="C126" s="59" t="s">
        <v>733</v>
      </c>
      <c r="D126" s="59" t="s">
        <v>734</v>
      </c>
      <c r="E126" s="60">
        <v>2022007279</v>
      </c>
      <c r="F126" s="57">
        <v>45134</v>
      </c>
      <c r="G126" s="59" t="s">
        <v>735</v>
      </c>
      <c r="H126" s="59" t="s">
        <v>25</v>
      </c>
      <c r="I126" s="59" t="s">
        <v>736</v>
      </c>
      <c r="J126" s="59" t="s">
        <v>44</v>
      </c>
      <c r="K126" s="59" t="s">
        <v>737</v>
      </c>
      <c r="L126" s="59" t="s">
        <v>676</v>
      </c>
      <c r="M126" s="59" t="s">
        <v>29</v>
      </c>
      <c r="N126" s="59" t="s">
        <v>29</v>
      </c>
      <c r="O126" s="87">
        <v>0</v>
      </c>
      <c r="P126" s="59" t="s">
        <v>29</v>
      </c>
      <c r="Q126" s="87">
        <v>0</v>
      </c>
      <c r="R126" s="59" t="s">
        <v>29</v>
      </c>
      <c r="S126" s="59" t="s">
        <v>30</v>
      </c>
      <c r="T126" s="59" t="s">
        <v>31</v>
      </c>
      <c r="U126" s="86"/>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row>
    <row r="127" spans="1:262" s="10" customFormat="1" ht="60" customHeight="1" x14ac:dyDescent="0.25">
      <c r="A127" s="77" t="str">
        <f>HYPERLINK("https://www.mpam.mp.br/images/ACT_Nº_003-2023-SSP-MP-PGJ_6db7f.pdf","TCT 3/2023 PGJ")</f>
        <v>TCT 3/2023 PGJ</v>
      </c>
      <c r="B127" s="59" t="s">
        <v>21</v>
      </c>
      <c r="C127" s="59" t="s">
        <v>738</v>
      </c>
      <c r="D127" s="59" t="s">
        <v>739</v>
      </c>
      <c r="E127" s="60" t="s">
        <v>740</v>
      </c>
      <c r="F127" s="57">
        <v>45124</v>
      </c>
      <c r="G127" s="59" t="s">
        <v>741</v>
      </c>
      <c r="H127" s="59" t="s">
        <v>25</v>
      </c>
      <c r="I127" s="59" t="s">
        <v>742</v>
      </c>
      <c r="J127" s="59" t="s">
        <v>743</v>
      </c>
      <c r="K127" s="59" t="s">
        <v>744</v>
      </c>
      <c r="L127" s="59" t="s">
        <v>676</v>
      </c>
      <c r="M127" s="59" t="s">
        <v>29</v>
      </c>
      <c r="N127" s="59" t="s">
        <v>29</v>
      </c>
      <c r="O127" s="87">
        <v>0</v>
      </c>
      <c r="P127" s="59" t="s">
        <v>29</v>
      </c>
      <c r="Q127" s="87">
        <v>0</v>
      </c>
      <c r="R127" s="59" t="s">
        <v>29</v>
      </c>
      <c r="S127" s="59" t="s">
        <v>30</v>
      </c>
      <c r="T127" s="59" t="str">
        <f>HYPERLINK("https://www.mpam.mp.br/images-j5/DCCON/2026/TERMOS%20ADITIVOS%20-%20CONVENIOS/1_TA___ACT_003_2023.pdf","1º Termo Aditivo")</f>
        <v>1º Termo Aditivo</v>
      </c>
      <c r="U127" s="86"/>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row>
    <row r="128" spans="1:262" s="10" customFormat="1" ht="60" customHeight="1" x14ac:dyDescent="0.25">
      <c r="A128" s="77" t="str">
        <f>HYPERLINK("https://www.mpam.mp.br/images/ACT_Nº_12-2023-_CEJUR-MP-PGJ_c2807.pdf","TCT 12/2023 PGJ")</f>
        <v>TCT 12/2023 PGJ</v>
      </c>
      <c r="B128" s="59" t="s">
        <v>21</v>
      </c>
      <c r="C128" s="59" t="s">
        <v>745</v>
      </c>
      <c r="D128" s="59" t="s">
        <v>746</v>
      </c>
      <c r="E128" s="60" t="s">
        <v>747</v>
      </c>
      <c r="F128" s="57">
        <v>45121</v>
      </c>
      <c r="G128" s="59" t="s">
        <v>748</v>
      </c>
      <c r="H128" s="59" t="s">
        <v>25</v>
      </c>
      <c r="I128" s="59" t="s">
        <v>749</v>
      </c>
      <c r="J128" s="59" t="s">
        <v>750</v>
      </c>
      <c r="K128" s="59" t="s">
        <v>751</v>
      </c>
      <c r="L128" s="59" t="s">
        <v>689</v>
      </c>
      <c r="M128" s="59" t="s">
        <v>29</v>
      </c>
      <c r="N128" s="59" t="s">
        <v>29</v>
      </c>
      <c r="O128" s="87">
        <v>0</v>
      </c>
      <c r="P128" s="59" t="s">
        <v>29</v>
      </c>
      <c r="Q128" s="87">
        <v>0</v>
      </c>
      <c r="R128" s="59" t="s">
        <v>29</v>
      </c>
      <c r="S128" s="59" t="s">
        <v>30</v>
      </c>
      <c r="T128" s="59" t="s">
        <v>31</v>
      </c>
      <c r="U128" s="86"/>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row>
    <row r="129" spans="1:262" s="10" customFormat="1" ht="60" customHeight="1" x14ac:dyDescent="0.25">
      <c r="A129" s="77" t="str">
        <f>HYPERLINK("https://www.mpam.mp.br/images/CV_Nº_1-2023-GEAP-MPAM_e43d9.pdf","TC 1/2023 PGJ")</f>
        <v>TC 1/2023 PGJ</v>
      </c>
      <c r="B129" s="59" t="s">
        <v>752</v>
      </c>
      <c r="C129" s="59" t="s">
        <v>753</v>
      </c>
      <c r="D129" s="59" t="s">
        <v>754</v>
      </c>
      <c r="E129" s="60" t="s">
        <v>755</v>
      </c>
      <c r="F129" s="57">
        <v>45108</v>
      </c>
      <c r="G129" s="59" t="s">
        <v>756</v>
      </c>
      <c r="H129" s="59" t="s">
        <v>25</v>
      </c>
      <c r="I129" s="59" t="s">
        <v>757</v>
      </c>
      <c r="J129" s="59" t="s">
        <v>758</v>
      </c>
      <c r="K129" s="59" t="s">
        <v>759</v>
      </c>
      <c r="L129" s="59" t="s">
        <v>760</v>
      </c>
      <c r="M129" s="59" t="s">
        <v>29</v>
      </c>
      <c r="N129" s="59" t="s">
        <v>29</v>
      </c>
      <c r="O129" s="87">
        <v>0</v>
      </c>
      <c r="P129" s="59" t="s">
        <v>29</v>
      </c>
      <c r="Q129" s="87">
        <v>0</v>
      </c>
      <c r="R129" s="59" t="s">
        <v>29</v>
      </c>
      <c r="S129" s="59" t="s">
        <v>30</v>
      </c>
      <c r="T129" s="59" t="s">
        <v>31</v>
      </c>
      <c r="U129" s="86"/>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row>
    <row r="130" spans="1:262" ht="60" customHeight="1" x14ac:dyDescent="0.25">
      <c r="A130" s="77" t="str">
        <f>HYPERLINK("https://www.mpam.mp.br/images/ACT_Nº_008-2023-MP-PGJ_5217e.pdf","TCT 8/2023 PGJ")</f>
        <v>TCT 8/2023 PGJ</v>
      </c>
      <c r="B130" s="91" t="s">
        <v>21</v>
      </c>
      <c r="C130" s="92" t="s">
        <v>761</v>
      </c>
      <c r="D130" s="59" t="s">
        <v>762</v>
      </c>
      <c r="E130" s="60" t="s">
        <v>763</v>
      </c>
      <c r="F130" s="57">
        <v>45072</v>
      </c>
      <c r="G130" s="57" t="s">
        <v>764</v>
      </c>
      <c r="H130" s="57" t="s">
        <v>25</v>
      </c>
      <c r="I130" s="57" t="s">
        <v>765</v>
      </c>
      <c r="J130" s="57" t="s">
        <v>766</v>
      </c>
      <c r="K130" s="57" t="s">
        <v>767</v>
      </c>
      <c r="L130" s="59" t="s">
        <v>654</v>
      </c>
      <c r="M130" s="59" t="s">
        <v>29</v>
      </c>
      <c r="N130" s="59" t="s">
        <v>29</v>
      </c>
      <c r="O130" s="87">
        <v>0</v>
      </c>
      <c r="P130" s="59" t="s">
        <v>29</v>
      </c>
      <c r="Q130" s="82">
        <v>0</v>
      </c>
      <c r="R130" s="59" t="s">
        <v>29</v>
      </c>
      <c r="S130" s="59" t="s">
        <v>30</v>
      </c>
      <c r="T130" s="59" t="s">
        <v>31</v>
      </c>
    </row>
    <row r="131" spans="1:262" ht="60" customHeight="1" x14ac:dyDescent="0.25">
      <c r="A131" s="77" t="str">
        <f>HYPERLINK("https://www.mpam.mp.br/images/ACT_Nº_020-2023-TJAMXEJUDXMPE_70a04.pdf","TCT 20/2023 PGJ")</f>
        <v>TCT 20/2023 PGJ</v>
      </c>
      <c r="B131" s="91" t="s">
        <v>21</v>
      </c>
      <c r="C131" s="92" t="s">
        <v>768</v>
      </c>
      <c r="D131" s="59" t="s">
        <v>769</v>
      </c>
      <c r="E131" s="60" t="s">
        <v>770</v>
      </c>
      <c r="F131" s="57">
        <v>45070</v>
      </c>
      <c r="G131" s="57" t="s">
        <v>771</v>
      </c>
      <c r="H131" s="57" t="s">
        <v>25</v>
      </c>
      <c r="I131" s="57" t="s">
        <v>166</v>
      </c>
      <c r="J131" s="57" t="s">
        <v>167</v>
      </c>
      <c r="K131" s="57" t="s">
        <v>772</v>
      </c>
      <c r="L131" s="59" t="s">
        <v>707</v>
      </c>
      <c r="M131" s="59" t="s">
        <v>29</v>
      </c>
      <c r="N131" s="59" t="s">
        <v>29</v>
      </c>
      <c r="O131" s="87">
        <v>0</v>
      </c>
      <c r="P131" s="59" t="s">
        <v>29</v>
      </c>
      <c r="Q131" s="82">
        <v>0</v>
      </c>
      <c r="R131" s="59" t="s">
        <v>29</v>
      </c>
      <c r="S131" s="59" t="s">
        <v>30</v>
      </c>
      <c r="T131" s="59" t="str">
        <f>HYPERLINK("https://www.mpam.mp.br/images/1º_TA_ao_ACT_nº_020_2023_-_TJAM_98a53.pdf","1º Termo Aditivo")</f>
        <v>1º Termo Aditivo</v>
      </c>
      <c r="U131" s="5" t="s">
        <v>29</v>
      </c>
    </row>
    <row r="132" spans="1:262" ht="60" customHeight="1" x14ac:dyDescent="0.25">
      <c r="A132" s="111" t="str">
        <f>HYPERLINK("https://www.mpam.mp.br/images/ACT_Nº_009-2023-MP-PGJ_9a844.pdf","TCT 9/2023 PGJ")</f>
        <v>TCT 9/2023 PGJ</v>
      </c>
      <c r="B132" s="112" t="s">
        <v>21</v>
      </c>
      <c r="C132" s="113" t="s">
        <v>773</v>
      </c>
      <c r="D132" s="110" t="s">
        <v>769</v>
      </c>
      <c r="E132" s="114" t="s">
        <v>774</v>
      </c>
      <c r="F132" s="109">
        <v>45071</v>
      </c>
      <c r="G132" s="109" t="s">
        <v>775</v>
      </c>
      <c r="H132" s="109" t="s">
        <v>25</v>
      </c>
      <c r="I132" s="109" t="s">
        <v>776</v>
      </c>
      <c r="J132" s="109" t="s">
        <v>777</v>
      </c>
      <c r="K132" s="109" t="s">
        <v>778</v>
      </c>
      <c r="L132" s="110" t="s">
        <v>779</v>
      </c>
      <c r="M132" s="110" t="s">
        <v>29</v>
      </c>
      <c r="N132" s="110" t="s">
        <v>29</v>
      </c>
      <c r="O132" s="108">
        <v>0</v>
      </c>
      <c r="P132" s="108" t="s">
        <v>29</v>
      </c>
      <c r="Q132" s="121">
        <v>0</v>
      </c>
      <c r="R132" s="121" t="s">
        <v>29</v>
      </c>
      <c r="S132" s="110" t="s">
        <v>30</v>
      </c>
      <c r="T132" s="73" t="str">
        <f>HYPERLINK("https://www.mpam.mp.br/images/1%C2%BA_TA_ao_ACT_N%C2%BA_009-2023_-_MPAM_3e010.pdf","1º Termo Aditivo")</f>
        <v>1º Termo Aditivo</v>
      </c>
    </row>
    <row r="133" spans="1:262" ht="60" customHeight="1" x14ac:dyDescent="0.25">
      <c r="A133" s="111"/>
      <c r="B133" s="112"/>
      <c r="C133" s="113"/>
      <c r="D133" s="110"/>
      <c r="E133" s="114"/>
      <c r="F133" s="109"/>
      <c r="G133" s="109"/>
      <c r="H133" s="109"/>
      <c r="I133" s="109"/>
      <c r="J133" s="109"/>
      <c r="K133" s="109"/>
      <c r="L133" s="110"/>
      <c r="M133" s="110"/>
      <c r="N133" s="110"/>
      <c r="O133" s="108"/>
      <c r="P133" s="108"/>
      <c r="Q133" s="121"/>
      <c r="R133" s="121"/>
      <c r="S133" s="110"/>
      <c r="T133" s="59" t="str">
        <f>HYPERLINK("https://www.mpam.mp.br/images/2%C2%BA_TA_ao_ACT_N%C2%BA_009-2023_-_MPAM_0e196.pdf","2º Termo Aditivo")</f>
        <v>2º Termo Aditivo</v>
      </c>
    </row>
    <row r="134" spans="1:262" ht="60" customHeight="1" x14ac:dyDescent="0.25">
      <c r="A134" s="111"/>
      <c r="B134" s="112"/>
      <c r="C134" s="112"/>
      <c r="D134" s="110"/>
      <c r="E134" s="114"/>
      <c r="F134" s="109"/>
      <c r="G134" s="109"/>
      <c r="H134" s="109"/>
      <c r="I134" s="109"/>
      <c r="J134" s="109"/>
      <c r="K134" s="109"/>
      <c r="L134" s="110"/>
      <c r="M134" s="110"/>
      <c r="N134" s="110"/>
      <c r="O134" s="108"/>
      <c r="P134" s="108"/>
      <c r="Q134" s="108"/>
      <c r="R134" s="121"/>
      <c r="S134" s="110"/>
      <c r="T134" s="83" t="str">
        <f>HYPERLINK("https://www.mpam.mp.br/images/3%C2%BA_TA_ao_ACT_N%C2%BA_009-2023_-_MPAM_d9ed0.pdf","3º Termo Aditivo")</f>
        <v>3º Termo Aditivo</v>
      </c>
    </row>
    <row r="135" spans="1:262" ht="60" customHeight="1" x14ac:dyDescent="0.25">
      <c r="A135" s="111"/>
      <c r="B135" s="112"/>
      <c r="C135" s="112"/>
      <c r="D135" s="110"/>
      <c r="E135" s="114"/>
      <c r="F135" s="109"/>
      <c r="G135" s="109"/>
      <c r="H135" s="109"/>
      <c r="I135" s="109"/>
      <c r="J135" s="109"/>
      <c r="K135" s="109"/>
      <c r="L135" s="110"/>
      <c r="M135" s="110"/>
      <c r="N135" s="110"/>
      <c r="O135" s="108"/>
      <c r="P135" s="108"/>
      <c r="Q135" s="108"/>
      <c r="R135" s="121"/>
      <c r="S135" s="110"/>
      <c r="T135" s="83" t="str">
        <f>HYPERLINK("https://www.mpam.mp.br/images/4%C2%BA_TA_ao_ACT_N%C2%BA_009-2023_-_MPAM_ff958.pdf","4º Termo Aditivo")</f>
        <v>4º Termo Aditivo</v>
      </c>
    </row>
    <row r="136" spans="1:262" ht="60" customHeight="1" x14ac:dyDescent="0.25">
      <c r="A136" s="111"/>
      <c r="B136" s="112"/>
      <c r="C136" s="112"/>
      <c r="D136" s="110"/>
      <c r="E136" s="114"/>
      <c r="F136" s="109"/>
      <c r="G136" s="109"/>
      <c r="H136" s="109"/>
      <c r="I136" s="109"/>
      <c r="J136" s="109"/>
      <c r="K136" s="109"/>
      <c r="L136" s="110"/>
      <c r="M136" s="110"/>
      <c r="N136" s="110"/>
      <c r="O136" s="108"/>
      <c r="P136" s="108"/>
      <c r="Q136" s="108"/>
      <c r="R136" s="121"/>
      <c r="S136" s="110"/>
      <c r="T136" s="83" t="str">
        <f>HYPERLINK("https://www.mpam.mp.br/images/5%C2%BA_TA_ao_ACT_n%C2%BA_009-2023_-_MPAM_5bda8.pdf","5º Termo Aditivo")</f>
        <v>5º Termo Aditivo</v>
      </c>
    </row>
    <row r="137" spans="1:262" ht="60" customHeight="1" x14ac:dyDescent="0.25">
      <c r="A137" s="111"/>
      <c r="B137" s="112"/>
      <c r="C137" s="112"/>
      <c r="D137" s="110"/>
      <c r="E137" s="114"/>
      <c r="F137" s="109"/>
      <c r="G137" s="109"/>
      <c r="H137" s="109"/>
      <c r="I137" s="109"/>
      <c r="J137" s="109"/>
      <c r="K137" s="109"/>
      <c r="L137" s="110"/>
      <c r="M137" s="110"/>
      <c r="N137" s="110"/>
      <c r="O137" s="108"/>
      <c r="P137" s="108"/>
      <c r="Q137" s="108"/>
      <c r="R137" s="121"/>
      <c r="S137" s="110"/>
      <c r="T137" s="83" t="str">
        <f>HYPERLINK("https://www.mpam.mp.br/images/6%C2%BA_TA_ao_ACT_009-2023_b05c7.pdf","6º Termo Aditivo")</f>
        <v>6º Termo Aditivo</v>
      </c>
    </row>
    <row r="138" spans="1:262" ht="60" customHeight="1" x14ac:dyDescent="0.25">
      <c r="A138" s="111"/>
      <c r="B138" s="112"/>
      <c r="C138" s="112"/>
      <c r="D138" s="110"/>
      <c r="E138" s="114"/>
      <c r="F138" s="109"/>
      <c r="G138" s="109"/>
      <c r="H138" s="109"/>
      <c r="I138" s="109"/>
      <c r="J138" s="109"/>
      <c r="K138" s="109"/>
      <c r="L138" s="110"/>
      <c r="M138" s="110"/>
      <c r="N138" s="110"/>
      <c r="O138" s="108"/>
      <c r="P138" s="108"/>
      <c r="Q138" s="108"/>
      <c r="R138" s="121"/>
      <c r="S138" s="110"/>
      <c r="T138" s="73" t="str">
        <f>HYPERLINK("https://www.mpam.mp.br/images/7%C2%BA_TA_ao_ACT_n%C2%BA_009-2023_091f2.pdf","7º Termo Aditivo")</f>
        <v>7º Termo Aditivo</v>
      </c>
    </row>
    <row r="139" spans="1:262" ht="60" customHeight="1" x14ac:dyDescent="0.25">
      <c r="A139" s="77" t="str">
        <f>HYPERLINK("https://www.mpam.mp.br/images/ACT_Nº_007-2023-MP-PGJ_3a3be.pdf","TCT 7/2023 PGJ")</f>
        <v>TCT 7/2023 PGJ</v>
      </c>
      <c r="B139" s="91" t="s">
        <v>21</v>
      </c>
      <c r="C139" s="91" t="s">
        <v>780</v>
      </c>
      <c r="D139" s="59" t="s">
        <v>781</v>
      </c>
      <c r="E139" s="60" t="s">
        <v>782</v>
      </c>
      <c r="F139" s="57">
        <v>45071</v>
      </c>
      <c r="G139" s="57">
        <v>46898</v>
      </c>
      <c r="H139" s="57" t="s">
        <v>25</v>
      </c>
      <c r="I139" s="57" t="s">
        <v>783</v>
      </c>
      <c r="J139" s="57" t="s">
        <v>784</v>
      </c>
      <c r="K139" s="57" t="s">
        <v>785</v>
      </c>
      <c r="L139" s="59" t="s">
        <v>786</v>
      </c>
      <c r="M139" s="59" t="s">
        <v>29</v>
      </c>
      <c r="N139" s="59" t="s">
        <v>29</v>
      </c>
      <c r="O139" s="87">
        <v>0</v>
      </c>
      <c r="P139" s="108"/>
      <c r="Q139" s="87">
        <v>0</v>
      </c>
      <c r="R139" s="121"/>
      <c r="S139" s="59" t="s">
        <v>30</v>
      </c>
      <c r="T139" s="73" t="s">
        <v>31</v>
      </c>
    </row>
    <row r="140" spans="1:262" ht="60" customHeight="1" x14ac:dyDescent="0.25">
      <c r="A140" s="77" t="str">
        <f>HYPERLINK("https://www.mpam.mp.br/images/ACT_Nº_006-2023_-_MP-PGJ_9ade2.pdf","TCT 6/2023 PGJ")</f>
        <v>TCT 6/2023 PGJ</v>
      </c>
      <c r="B140" s="91" t="s">
        <v>21</v>
      </c>
      <c r="C140" s="91" t="s">
        <v>787</v>
      </c>
      <c r="D140" s="59" t="s">
        <v>788</v>
      </c>
      <c r="E140" s="60" t="s">
        <v>789</v>
      </c>
      <c r="F140" s="57">
        <v>45070</v>
      </c>
      <c r="G140" s="57">
        <v>46525</v>
      </c>
      <c r="H140" s="57" t="s">
        <v>25</v>
      </c>
      <c r="I140" s="57" t="s">
        <v>790</v>
      </c>
      <c r="J140" s="57" t="s">
        <v>791</v>
      </c>
      <c r="K140" s="57" t="s">
        <v>792</v>
      </c>
      <c r="L140" s="59" t="s">
        <v>793</v>
      </c>
      <c r="M140" s="59" t="s">
        <v>29</v>
      </c>
      <c r="N140" s="59" t="s">
        <v>29</v>
      </c>
      <c r="O140" s="87">
        <v>0</v>
      </c>
      <c r="P140" s="108"/>
      <c r="Q140" s="87">
        <v>0</v>
      </c>
      <c r="R140" s="121"/>
      <c r="S140" s="59" t="s">
        <v>30</v>
      </c>
      <c r="T140" s="73" t="str">
        <f>HYPERLINK("https://www.mpam.mp.br/images/1%C2%BA_TA_ao_ACT_N%C2%BA_006-2023_a54ac.pdf","1º Termo Aditivo")</f>
        <v>1º Termo Aditivo</v>
      </c>
      <c r="U140" s="5" t="s">
        <v>29</v>
      </c>
    </row>
    <row r="141" spans="1:262" ht="60" customHeight="1" x14ac:dyDescent="0.25">
      <c r="A141" s="77" t="str">
        <f>HYPERLINK("https://www.mpam.mp.br/images/ACT_Nº_001-2023-AAMXMPE_ac1b3.pdf","TCT 1/2023 PGJ")</f>
        <v>TCT 1/2023 PGJ</v>
      </c>
      <c r="B141" s="91" t="s">
        <v>21</v>
      </c>
      <c r="C141" s="92" t="s">
        <v>794</v>
      </c>
      <c r="D141" s="59" t="s">
        <v>795</v>
      </c>
      <c r="E141" s="60" t="s">
        <v>796</v>
      </c>
      <c r="F141" s="57">
        <v>45071</v>
      </c>
      <c r="G141" s="57" t="s">
        <v>775</v>
      </c>
      <c r="H141" s="57" t="s">
        <v>25</v>
      </c>
      <c r="I141" s="57" t="s">
        <v>797</v>
      </c>
      <c r="J141" s="57" t="s">
        <v>798</v>
      </c>
      <c r="K141" s="57" t="s">
        <v>799</v>
      </c>
      <c r="L141" s="59" t="s">
        <v>427</v>
      </c>
      <c r="M141" s="59" t="s">
        <v>29</v>
      </c>
      <c r="N141" s="59" t="s">
        <v>29</v>
      </c>
      <c r="O141" s="87">
        <v>0</v>
      </c>
      <c r="P141" s="59" t="s">
        <v>29</v>
      </c>
      <c r="Q141" s="82">
        <v>0</v>
      </c>
      <c r="R141" s="59" t="s">
        <v>29</v>
      </c>
      <c r="S141" s="59" t="s">
        <v>30</v>
      </c>
      <c r="T141" s="59" t="s">
        <v>31</v>
      </c>
    </row>
    <row r="142" spans="1:262" ht="60" customHeight="1" x14ac:dyDescent="0.25">
      <c r="A142" s="77" t="str">
        <f>HYPERLINK("https://www.mpam.mp.br/images/Termo_de_Adesão_A_SOLUÇÃO_SINESPE_ff43b.pdf","TA 0/2023 PGJ")</f>
        <v>TA 0/2023 PGJ</v>
      </c>
      <c r="B142" s="91" t="s">
        <v>32</v>
      </c>
      <c r="C142" s="92" t="s">
        <v>800</v>
      </c>
      <c r="D142" s="59" t="s">
        <v>801</v>
      </c>
      <c r="E142" s="60" t="s">
        <v>802</v>
      </c>
      <c r="F142" s="57">
        <v>45042</v>
      </c>
      <c r="G142" s="57" t="s">
        <v>803</v>
      </c>
      <c r="H142" s="57" t="s">
        <v>25</v>
      </c>
      <c r="I142" s="57" t="s">
        <v>804</v>
      </c>
      <c r="J142" s="57" t="s">
        <v>805</v>
      </c>
      <c r="K142" s="57" t="s">
        <v>806</v>
      </c>
      <c r="L142" s="59" t="s">
        <v>676</v>
      </c>
      <c r="M142" s="59" t="s">
        <v>29</v>
      </c>
      <c r="N142" s="59" t="s">
        <v>29</v>
      </c>
      <c r="O142" s="87">
        <v>0</v>
      </c>
      <c r="P142" s="59" t="s">
        <v>29</v>
      </c>
      <c r="Q142" s="82">
        <v>0</v>
      </c>
      <c r="R142" s="59" t="s">
        <v>29</v>
      </c>
      <c r="S142" s="59" t="s">
        <v>807</v>
      </c>
      <c r="T142" s="59" t="s">
        <v>31</v>
      </c>
    </row>
    <row r="143" spans="1:262" ht="60" customHeight="1" x14ac:dyDescent="0.25">
      <c r="A143" s="77" t="str">
        <f>HYPERLINK("https://www.mpam.mp.br/images/Termo_de_Adesão_ao_Pacto_Nacional_em_Defesa_da_Democracia_1be1c.pdf","TA 0/2023 PGJ")</f>
        <v>TA 0/2023 PGJ</v>
      </c>
      <c r="B143" s="91" t="s">
        <v>32</v>
      </c>
      <c r="C143" s="92" t="s">
        <v>808</v>
      </c>
      <c r="D143" s="59" t="s">
        <v>801</v>
      </c>
      <c r="E143" s="60" t="s">
        <v>809</v>
      </c>
      <c r="F143" s="57">
        <v>45014</v>
      </c>
      <c r="G143" s="57" t="s">
        <v>810</v>
      </c>
      <c r="H143" s="57" t="s">
        <v>25</v>
      </c>
      <c r="I143" s="57" t="s">
        <v>36</v>
      </c>
      <c r="J143" s="57" t="s">
        <v>123</v>
      </c>
      <c r="K143" s="57" t="s">
        <v>811</v>
      </c>
      <c r="L143" s="59" t="s">
        <v>812</v>
      </c>
      <c r="M143" s="59" t="s">
        <v>29</v>
      </c>
      <c r="N143" s="59" t="s">
        <v>29</v>
      </c>
      <c r="O143" s="87">
        <v>0</v>
      </c>
      <c r="P143" s="59" t="s">
        <v>29</v>
      </c>
      <c r="Q143" s="82">
        <v>0</v>
      </c>
      <c r="R143" s="59" t="s">
        <v>29</v>
      </c>
      <c r="S143" s="59" t="s">
        <v>807</v>
      </c>
      <c r="T143" s="83" t="s">
        <v>31</v>
      </c>
    </row>
    <row r="144" spans="1:262" ht="60" customHeight="1" x14ac:dyDescent="0.25">
      <c r="A144" s="77" t="str">
        <f>HYPERLINK("https://www.mpam.mp.br/images/ACT_Nº_004-2023-MP-PGJ_-_SANGUE_NATIVO_dfcbd.pdf","TCT 4/2023 PGJ")</f>
        <v>TCT 4/2023 PGJ</v>
      </c>
      <c r="B144" s="91" t="s">
        <v>21</v>
      </c>
      <c r="C144" s="91" t="s">
        <v>813</v>
      </c>
      <c r="D144" s="59" t="s">
        <v>814</v>
      </c>
      <c r="E144" s="60" t="s">
        <v>815</v>
      </c>
      <c r="F144" s="57">
        <v>45008</v>
      </c>
      <c r="G144" s="57" t="s">
        <v>816</v>
      </c>
      <c r="H144" s="57" t="s">
        <v>25</v>
      </c>
      <c r="I144" s="57" t="s">
        <v>817</v>
      </c>
      <c r="J144" s="57" t="s">
        <v>818</v>
      </c>
      <c r="K144" s="57" t="s">
        <v>819</v>
      </c>
      <c r="L144" s="59" t="s">
        <v>820</v>
      </c>
      <c r="M144" s="59" t="s">
        <v>29</v>
      </c>
      <c r="N144" s="59" t="s">
        <v>29</v>
      </c>
      <c r="O144" s="87">
        <v>0</v>
      </c>
      <c r="P144" s="59" t="s">
        <v>29</v>
      </c>
      <c r="Q144" s="82">
        <v>0</v>
      </c>
      <c r="R144" s="59" t="s">
        <v>29</v>
      </c>
      <c r="S144" s="59" t="s">
        <v>807</v>
      </c>
      <c r="T144" s="83" t="s">
        <v>31</v>
      </c>
    </row>
    <row r="145" spans="1:262" ht="60" customHeight="1" x14ac:dyDescent="0.25">
      <c r="A145" s="77" t="str">
        <f>HYPERLINK("https://www.mpam.mp.br/images/Termo_de_Adesão_nº_01-2022-CONATETRAP-CNMP_e4055.pdf","TA 01/2023 PGJ")</f>
        <v>TA 01/2023 PGJ</v>
      </c>
      <c r="B145" s="91" t="s">
        <v>32</v>
      </c>
      <c r="C145" s="91" t="s">
        <v>821</v>
      </c>
      <c r="D145" s="59" t="s">
        <v>822</v>
      </c>
      <c r="E145" s="60" t="s">
        <v>823</v>
      </c>
      <c r="F145" s="57">
        <v>44958</v>
      </c>
      <c r="G145" s="57" t="s">
        <v>810</v>
      </c>
      <c r="H145" s="57" t="s">
        <v>25</v>
      </c>
      <c r="I145" s="57" t="s">
        <v>36</v>
      </c>
      <c r="J145" s="57" t="s">
        <v>123</v>
      </c>
      <c r="K145" s="57" t="s">
        <v>824</v>
      </c>
      <c r="L145" s="59" t="s">
        <v>825</v>
      </c>
      <c r="M145" s="59" t="s">
        <v>29</v>
      </c>
      <c r="N145" s="59" t="s">
        <v>29</v>
      </c>
      <c r="O145" s="87">
        <v>0</v>
      </c>
      <c r="P145" s="59" t="s">
        <v>29</v>
      </c>
      <c r="Q145" s="82">
        <v>0</v>
      </c>
      <c r="R145" s="59" t="s">
        <v>29</v>
      </c>
      <c r="S145" s="59" t="s">
        <v>807</v>
      </c>
      <c r="T145" s="83" t="s">
        <v>31</v>
      </c>
    </row>
    <row r="146" spans="1:262" ht="60" customHeight="1" x14ac:dyDescent="0.25">
      <c r="A146" s="77" t="str">
        <f>HYPERLINK("https://www.mpam.mp.br/images/Termo_de_Adesão_nº_09012023_ao_Protocolo_de_Intenções_CNMP_-_MPPE_67bae.pdf","TA 9.01.2023/2023 PGJ")</f>
        <v>TA 9.01.2023/2023 PGJ</v>
      </c>
      <c r="B146" s="91" t="s">
        <v>32</v>
      </c>
      <c r="C146" s="91" t="s">
        <v>826</v>
      </c>
      <c r="D146" s="59" t="s">
        <v>827</v>
      </c>
      <c r="E146" s="60" t="s">
        <v>828</v>
      </c>
      <c r="F146" s="57">
        <v>44950</v>
      </c>
      <c r="G146" s="57">
        <v>46712</v>
      </c>
      <c r="H146" s="57" t="s">
        <v>25</v>
      </c>
      <c r="I146" s="57" t="s">
        <v>829</v>
      </c>
      <c r="J146" s="57" t="s">
        <v>123</v>
      </c>
      <c r="K146" s="57" t="s">
        <v>830</v>
      </c>
      <c r="L146" s="59" t="s">
        <v>831</v>
      </c>
      <c r="M146" s="59" t="s">
        <v>29</v>
      </c>
      <c r="N146" s="59" t="s">
        <v>29</v>
      </c>
      <c r="O146" s="87">
        <v>0</v>
      </c>
      <c r="P146" s="59" t="s">
        <v>29</v>
      </c>
      <c r="Q146" s="82">
        <v>0</v>
      </c>
      <c r="R146" s="59" t="s">
        <v>29</v>
      </c>
      <c r="S146" s="59" t="s">
        <v>807</v>
      </c>
      <c r="T146" s="83" t="s">
        <v>31</v>
      </c>
    </row>
    <row r="147" spans="1:262" ht="60" customHeight="1" x14ac:dyDescent="0.25">
      <c r="A147" s="77" t="str">
        <f>HYPERLINK("https://www.mpam.mp.br/images/ACT_nº___004_2022___SSP_AM_d0a94.pdf","TCT 4/2022 PGJ")</f>
        <v>TCT 4/2022 PGJ</v>
      </c>
      <c r="B147" s="91" t="s">
        <v>21</v>
      </c>
      <c r="C147" s="91" t="s">
        <v>832</v>
      </c>
      <c r="D147" s="59" t="s">
        <v>833</v>
      </c>
      <c r="E147" s="60" t="s">
        <v>834</v>
      </c>
      <c r="F147" s="57">
        <v>44895</v>
      </c>
      <c r="G147" s="57">
        <v>46721</v>
      </c>
      <c r="H147" s="57" t="s">
        <v>25</v>
      </c>
      <c r="I147" s="57" t="s">
        <v>835</v>
      </c>
      <c r="J147" s="57" t="s">
        <v>743</v>
      </c>
      <c r="K147" s="57" t="s">
        <v>836</v>
      </c>
      <c r="L147" s="59" t="s">
        <v>676</v>
      </c>
      <c r="M147" s="59" t="s">
        <v>29</v>
      </c>
      <c r="N147" s="59" t="s">
        <v>29</v>
      </c>
      <c r="O147" s="87">
        <v>0</v>
      </c>
      <c r="P147" s="59" t="s">
        <v>29</v>
      </c>
      <c r="Q147" s="82">
        <v>0</v>
      </c>
      <c r="R147" s="59" t="s">
        <v>29</v>
      </c>
      <c r="S147" s="59" t="s">
        <v>807</v>
      </c>
      <c r="T147" s="83" t="s">
        <v>31</v>
      </c>
    </row>
    <row r="148" spans="1:262" ht="60" customHeight="1" x14ac:dyDescent="0.25">
      <c r="A148" s="77" t="str">
        <f>HYPERLINK("https://www.mpam.mp.br/images/ACT_nº_048.2022___TJAM_d1613.pdf","TCT 48/2022 PGJ")</f>
        <v>TCT 48/2022 PGJ</v>
      </c>
      <c r="B148" s="91" t="s">
        <v>21</v>
      </c>
      <c r="C148" s="91" t="s">
        <v>837</v>
      </c>
      <c r="D148" s="59" t="s">
        <v>838</v>
      </c>
      <c r="E148" s="60" t="s">
        <v>839</v>
      </c>
      <c r="F148" s="57">
        <v>44855</v>
      </c>
      <c r="G148" s="57">
        <v>46681</v>
      </c>
      <c r="H148" s="57" t="s">
        <v>25</v>
      </c>
      <c r="I148" s="57" t="s">
        <v>166</v>
      </c>
      <c r="J148" s="57" t="s">
        <v>167</v>
      </c>
      <c r="K148" s="57" t="s">
        <v>840</v>
      </c>
      <c r="L148" s="59" t="s">
        <v>841</v>
      </c>
      <c r="M148" s="59" t="s">
        <v>29</v>
      </c>
      <c r="N148" s="59" t="s">
        <v>29</v>
      </c>
      <c r="O148" s="87">
        <v>0</v>
      </c>
      <c r="P148" s="59" t="s">
        <v>29</v>
      </c>
      <c r="Q148" s="82">
        <v>0</v>
      </c>
      <c r="R148" s="59" t="s">
        <v>29</v>
      </c>
      <c r="S148" s="59" t="s">
        <v>807</v>
      </c>
      <c r="T148" s="83" t="s">
        <v>31</v>
      </c>
    </row>
    <row r="149" spans="1:262" ht="60" customHeight="1" x14ac:dyDescent="0.25">
      <c r="A149" s="77" t="str">
        <f>HYPERLINK("https://www.mpam.mp.br/images/Termo_de_Adesão_ao_ACT_Nº_031-2022__CNMP-IBAMA_a88d7.pdf","TP 0/2022 PGJ")</f>
        <v>TP 0/2022 PGJ</v>
      </c>
      <c r="B149" s="91" t="s">
        <v>32</v>
      </c>
      <c r="C149" s="91" t="s">
        <v>842</v>
      </c>
      <c r="D149" s="59" t="s">
        <v>843</v>
      </c>
      <c r="E149" s="60" t="s">
        <v>844</v>
      </c>
      <c r="F149" s="57">
        <v>44874</v>
      </c>
      <c r="G149" s="57">
        <v>46643</v>
      </c>
      <c r="H149" s="57" t="s">
        <v>25</v>
      </c>
      <c r="I149" s="57" t="s">
        <v>36</v>
      </c>
      <c r="J149" s="57" t="s">
        <v>123</v>
      </c>
      <c r="K149" s="57" t="s">
        <v>845</v>
      </c>
      <c r="L149" s="59" t="s">
        <v>846</v>
      </c>
      <c r="M149" s="59" t="s">
        <v>29</v>
      </c>
      <c r="N149" s="59" t="s">
        <v>29</v>
      </c>
      <c r="O149" s="87">
        <v>0</v>
      </c>
      <c r="P149" s="59" t="s">
        <v>29</v>
      </c>
      <c r="Q149" s="82">
        <v>0</v>
      </c>
      <c r="R149" s="59" t="s">
        <v>29</v>
      </c>
      <c r="S149" s="59" t="s">
        <v>807</v>
      </c>
      <c r="T149" s="73" t="s">
        <v>31</v>
      </c>
    </row>
    <row r="150" spans="1:262" ht="60" customHeight="1" x14ac:dyDescent="0.25">
      <c r="A150" s="77" t="str">
        <f>HYPERLINK("https://www.mpam.mp.br/images/ACT_Nº_012-2022_MPAM-PGJ_562da.pdf","TCT 12/2022 PGJ")</f>
        <v>TCT 12/2022 PGJ</v>
      </c>
      <c r="B150" s="91" t="s">
        <v>21</v>
      </c>
      <c r="C150" s="91" t="s">
        <v>847</v>
      </c>
      <c r="D150" s="59" t="s">
        <v>848</v>
      </c>
      <c r="E150" s="60" t="s">
        <v>849</v>
      </c>
      <c r="F150" s="57">
        <v>44874</v>
      </c>
      <c r="G150" s="57">
        <v>46700</v>
      </c>
      <c r="H150" s="57" t="s">
        <v>25</v>
      </c>
      <c r="I150" s="57" t="s">
        <v>296</v>
      </c>
      <c r="J150" s="57" t="s">
        <v>297</v>
      </c>
      <c r="K150" s="57" t="s">
        <v>850</v>
      </c>
      <c r="L150" s="59" t="s">
        <v>851</v>
      </c>
      <c r="M150" s="59" t="s">
        <v>29</v>
      </c>
      <c r="N150" s="59" t="s">
        <v>29</v>
      </c>
      <c r="O150" s="87">
        <v>0</v>
      </c>
      <c r="P150" s="59" t="s">
        <v>29</v>
      </c>
      <c r="Q150" s="82">
        <v>0</v>
      </c>
      <c r="R150" s="59" t="s">
        <v>29</v>
      </c>
      <c r="S150" s="59" t="s">
        <v>807</v>
      </c>
      <c r="T150" s="73" t="s">
        <v>31</v>
      </c>
    </row>
    <row r="151" spans="1:262" ht="60" customHeight="1" x14ac:dyDescent="0.25">
      <c r="A151" s="77" t="str">
        <f>HYPERLINK("https://www.mpam.mp.br/images/Termo_de_Afetaçao_e_Responsabilidade_Nº_017-2022__SEAD-MP_394ea.pdf","TAR  17/2022 PGJ")</f>
        <v>TAR  17/2022 PGJ</v>
      </c>
      <c r="B151" s="91" t="s">
        <v>852</v>
      </c>
      <c r="C151" s="92" t="s">
        <v>853</v>
      </c>
      <c r="D151" s="59" t="s">
        <v>854</v>
      </c>
      <c r="E151" s="60" t="s">
        <v>855</v>
      </c>
      <c r="F151" s="57">
        <v>44853</v>
      </c>
      <c r="G151" s="57" t="s">
        <v>810</v>
      </c>
      <c r="H151" s="57" t="s">
        <v>25</v>
      </c>
      <c r="I151" s="57" t="s">
        <v>856</v>
      </c>
      <c r="J151" s="57" t="s">
        <v>857</v>
      </c>
      <c r="K151" s="57" t="s">
        <v>858</v>
      </c>
      <c r="L151" s="59" t="s">
        <v>859</v>
      </c>
      <c r="M151" s="59" t="s">
        <v>29</v>
      </c>
      <c r="N151" s="59" t="s">
        <v>29</v>
      </c>
      <c r="O151" s="87">
        <v>0</v>
      </c>
      <c r="P151" s="59" t="s">
        <v>29</v>
      </c>
      <c r="Q151" s="82">
        <v>0</v>
      </c>
      <c r="R151" s="59" t="s">
        <v>29</v>
      </c>
      <c r="S151" s="59" t="s">
        <v>807</v>
      </c>
      <c r="T151" s="59" t="s">
        <v>31</v>
      </c>
    </row>
    <row r="152" spans="1:262" ht="60" customHeight="1" x14ac:dyDescent="0.25">
      <c r="A152" s="77" t="str">
        <f>HYPERLINK("https://www.mpam.mp.br/images/Termo_de_Adesão_ao_ACT_Nº_031-2022__CNMP-IBAMA_a88d7.pdf","TA 31/2022")</f>
        <v>TA 31/2022</v>
      </c>
      <c r="B152" s="91" t="s">
        <v>32</v>
      </c>
      <c r="C152" s="92" t="s">
        <v>860</v>
      </c>
      <c r="D152" s="59" t="s">
        <v>861</v>
      </c>
      <c r="E152" s="60" t="s">
        <v>862</v>
      </c>
      <c r="F152" s="57">
        <v>44853</v>
      </c>
      <c r="G152" s="57" t="s">
        <v>810</v>
      </c>
      <c r="H152" s="57" t="s">
        <v>25</v>
      </c>
      <c r="I152" s="57" t="s">
        <v>829</v>
      </c>
      <c r="J152" s="57" t="s">
        <v>123</v>
      </c>
      <c r="K152" s="57" t="s">
        <v>845</v>
      </c>
      <c r="L152" s="59" t="s">
        <v>863</v>
      </c>
      <c r="M152" s="59" t="s">
        <v>29</v>
      </c>
      <c r="N152" s="59" t="s">
        <v>29</v>
      </c>
      <c r="O152" s="87">
        <v>0</v>
      </c>
      <c r="P152" s="59" t="s">
        <v>29</v>
      </c>
      <c r="Q152" s="82">
        <v>0</v>
      </c>
      <c r="R152" s="59" t="s">
        <v>29</v>
      </c>
      <c r="S152" s="59" t="s">
        <v>807</v>
      </c>
      <c r="T152" s="73" t="s">
        <v>31</v>
      </c>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row>
    <row r="153" spans="1:262" ht="60" customHeight="1" x14ac:dyDescent="0.25">
      <c r="A153" s="77" t="str">
        <f>HYPERLINK("https://www.mpam.mp.br/images/Termo_de_Adesão_ao_ACT_Nº_007-2022__GM_9247c.pdf","T.A 7/2022 PGJ")</f>
        <v>T.A 7/2022 PGJ</v>
      </c>
      <c r="B153" s="91" t="s">
        <v>32</v>
      </c>
      <c r="C153" s="92" t="s">
        <v>864</v>
      </c>
      <c r="D153" s="59" t="s">
        <v>865</v>
      </c>
      <c r="E153" s="60" t="s">
        <v>866</v>
      </c>
      <c r="F153" s="57">
        <v>44834</v>
      </c>
      <c r="G153" s="57">
        <v>46652</v>
      </c>
      <c r="H153" s="57" t="s">
        <v>25</v>
      </c>
      <c r="I153" s="57" t="s">
        <v>829</v>
      </c>
      <c r="J153" s="57" t="s">
        <v>123</v>
      </c>
      <c r="K153" s="57" t="s">
        <v>845</v>
      </c>
      <c r="L153" s="59" t="s">
        <v>676</v>
      </c>
      <c r="M153" s="59" t="s">
        <v>29</v>
      </c>
      <c r="N153" s="59" t="s">
        <v>29</v>
      </c>
      <c r="O153" s="87">
        <v>0</v>
      </c>
      <c r="P153" s="59" t="s">
        <v>29</v>
      </c>
      <c r="Q153" s="82">
        <v>0</v>
      </c>
      <c r="R153" s="59" t="s">
        <v>29</v>
      </c>
      <c r="S153" s="59" t="s">
        <v>807</v>
      </c>
      <c r="T153" s="59" t="s">
        <v>31</v>
      </c>
    </row>
    <row r="154" spans="1:262" ht="60" customHeight="1" x14ac:dyDescent="0.25">
      <c r="A154" s="77" t="str">
        <f>HYPERLINK("https://www.mpam.mp.br/images/ACT_Nº_034-2022__MPSP-LAB_ELEITOR_ff922.pdf","TCT 34/2022 PGJ")</f>
        <v>TCT 34/2022 PGJ</v>
      </c>
      <c r="B154" s="91" t="s">
        <v>21</v>
      </c>
      <c r="C154" s="92" t="s">
        <v>867</v>
      </c>
      <c r="D154" s="59" t="s">
        <v>861</v>
      </c>
      <c r="E154" s="60" t="s">
        <v>868</v>
      </c>
      <c r="F154" s="57">
        <v>44858</v>
      </c>
      <c r="G154" s="57">
        <v>46269</v>
      </c>
      <c r="H154" s="57" t="s">
        <v>25</v>
      </c>
      <c r="I154" s="57" t="s">
        <v>583</v>
      </c>
      <c r="J154" s="57" t="s">
        <v>584</v>
      </c>
      <c r="K154" s="57" t="s">
        <v>869</v>
      </c>
      <c r="L154" s="59" t="s">
        <v>870</v>
      </c>
      <c r="M154" s="59" t="s">
        <v>29</v>
      </c>
      <c r="N154" s="59" t="s">
        <v>29</v>
      </c>
      <c r="O154" s="87">
        <v>0</v>
      </c>
      <c r="P154" s="59" t="s">
        <v>29</v>
      </c>
      <c r="Q154" s="82">
        <v>0</v>
      </c>
      <c r="R154" s="59" t="s">
        <v>29</v>
      </c>
      <c r="S154" s="59" t="s">
        <v>807</v>
      </c>
      <c r="T154" s="59" t="str">
        <f>HYPERLINK("https://www.mpam.mp.br/images/1º_TA_ao_ACT_nº_034-2022_-_MPSP-MPAM_06572.pdf","1º Termo Aditivo")</f>
        <v>1º Termo Aditivo</v>
      </c>
    </row>
    <row r="155" spans="1:262" ht="60" customHeight="1" x14ac:dyDescent="0.25">
      <c r="A155" s="77" t="str">
        <f>HYPERLINK("https://www.mpam.mp.br/images/ACT_Nº_010-2022__MP-PGJ_df93b.pdf","TCT 10/2022 PGJ")</f>
        <v>TCT 10/2022 PGJ</v>
      </c>
      <c r="B155" s="91" t="s">
        <v>21</v>
      </c>
      <c r="C155" s="92" t="s">
        <v>871</v>
      </c>
      <c r="D155" s="59" t="s">
        <v>861</v>
      </c>
      <c r="E155" s="60" t="s">
        <v>872</v>
      </c>
      <c r="F155" s="57">
        <v>44854</v>
      </c>
      <c r="G155" s="57" t="s">
        <v>810</v>
      </c>
      <c r="H155" s="57" t="s">
        <v>25</v>
      </c>
      <c r="I155" s="57" t="s">
        <v>330</v>
      </c>
      <c r="J155" s="57" t="s">
        <v>331</v>
      </c>
      <c r="K155" s="57" t="s">
        <v>332</v>
      </c>
      <c r="L155" s="59" t="s">
        <v>873</v>
      </c>
      <c r="M155" s="59" t="s">
        <v>29</v>
      </c>
      <c r="N155" s="59" t="s">
        <v>29</v>
      </c>
      <c r="O155" s="87">
        <v>0</v>
      </c>
      <c r="P155" s="59" t="s">
        <v>29</v>
      </c>
      <c r="Q155" s="82">
        <v>0</v>
      </c>
      <c r="R155" s="59" t="s">
        <v>29</v>
      </c>
      <c r="S155" s="59" t="s">
        <v>807</v>
      </c>
      <c r="T155" s="59" t="s">
        <v>31</v>
      </c>
    </row>
    <row r="156" spans="1:262" ht="60" customHeight="1" x14ac:dyDescent="0.25">
      <c r="A156" s="77" t="str">
        <f>HYPERLINK("https://www.mpam.mp.br/images/Termo_de_Doação_nº_01-2022_-_MP_PGJ_ac186.pdf","TD 1/2022 PGJ")</f>
        <v>TD 1/2022 PGJ</v>
      </c>
      <c r="B156" s="91" t="s">
        <v>874</v>
      </c>
      <c r="C156" s="92" t="s">
        <v>875</v>
      </c>
      <c r="D156" s="59" t="s">
        <v>876</v>
      </c>
      <c r="E156" s="60" t="s">
        <v>877</v>
      </c>
      <c r="F156" s="57" t="s">
        <v>878</v>
      </c>
      <c r="G156" s="57" t="s">
        <v>810</v>
      </c>
      <c r="H156" s="57" t="s">
        <v>25</v>
      </c>
      <c r="I156" s="57" t="s">
        <v>879</v>
      </c>
      <c r="J156" s="57" t="s">
        <v>880</v>
      </c>
      <c r="K156" s="57" t="s">
        <v>881</v>
      </c>
      <c r="L156" s="59" t="s">
        <v>882</v>
      </c>
      <c r="M156" s="59" t="s">
        <v>29</v>
      </c>
      <c r="N156" s="59" t="s">
        <v>29</v>
      </c>
      <c r="O156" s="87">
        <v>0</v>
      </c>
      <c r="P156" s="59" t="s">
        <v>29</v>
      </c>
      <c r="Q156" s="82">
        <v>0</v>
      </c>
      <c r="R156" s="59" t="s">
        <v>29</v>
      </c>
      <c r="S156" s="59" t="s">
        <v>807</v>
      </c>
      <c r="T156" s="59" t="s">
        <v>31</v>
      </c>
    </row>
    <row r="157" spans="1:262" ht="60" customHeight="1" x14ac:dyDescent="0.25">
      <c r="A157" s="77" t="str">
        <f>HYPERLINK("https://www.mpam.mp.br/images/ACT_DE_09-02-22_-_CNMP-ICL_4e4c8.pdf","T.A 09/02/2022 PGJ")</f>
        <v>T.A 09/02/2022 PGJ</v>
      </c>
      <c r="B157" s="91" t="s">
        <v>32</v>
      </c>
      <c r="C157" s="92" t="s">
        <v>883</v>
      </c>
      <c r="D157" s="59" t="s">
        <v>884</v>
      </c>
      <c r="E157" s="60" t="s">
        <v>885</v>
      </c>
      <c r="F157" s="57">
        <v>44827</v>
      </c>
      <c r="G157" s="57" t="s">
        <v>810</v>
      </c>
      <c r="H157" s="57" t="s">
        <v>25</v>
      </c>
      <c r="I157" s="57" t="s">
        <v>36</v>
      </c>
      <c r="J157" s="57" t="s">
        <v>123</v>
      </c>
      <c r="K157" s="59" t="s">
        <v>824</v>
      </c>
      <c r="L157" s="59" t="s">
        <v>886</v>
      </c>
      <c r="M157" s="59" t="s">
        <v>29</v>
      </c>
      <c r="N157" s="59" t="s">
        <v>29</v>
      </c>
      <c r="O157" s="87">
        <v>0</v>
      </c>
      <c r="P157" s="59" t="s">
        <v>29</v>
      </c>
      <c r="Q157" s="82">
        <v>0</v>
      </c>
      <c r="R157" s="59" t="s">
        <v>29</v>
      </c>
      <c r="S157" s="59" t="s">
        <v>807</v>
      </c>
      <c r="T157" s="59" t="s">
        <v>31</v>
      </c>
    </row>
    <row r="158" spans="1:262" ht="60" customHeight="1" x14ac:dyDescent="0.25">
      <c r="A158" s="77" t="str">
        <f>HYPERLINK("https://www.mpam.mp.br/images/Acordo_de_Cooperação_Técnica_nº_01-2022_-_SGC_SEFAZ_0f0c0.pdf","TCT 1/2022 PGJ")</f>
        <v>TCT 1/2022 PGJ</v>
      </c>
      <c r="B158" s="91" t="s">
        <v>887</v>
      </c>
      <c r="C158" s="92" t="s">
        <v>888</v>
      </c>
      <c r="D158" s="59" t="s">
        <v>889</v>
      </c>
      <c r="E158" s="60" t="s">
        <v>890</v>
      </c>
      <c r="F158" s="57">
        <v>44817</v>
      </c>
      <c r="G158" s="57">
        <v>46643</v>
      </c>
      <c r="H158" s="57" t="s">
        <v>25</v>
      </c>
      <c r="I158" s="57" t="s">
        <v>891</v>
      </c>
      <c r="J158" s="57" t="s">
        <v>892</v>
      </c>
      <c r="K158" s="59" t="s">
        <v>893</v>
      </c>
      <c r="L158" s="59" t="s">
        <v>894</v>
      </c>
      <c r="M158" s="59" t="s">
        <v>29</v>
      </c>
      <c r="N158" s="59" t="s">
        <v>29</v>
      </c>
      <c r="O158" s="87">
        <v>0</v>
      </c>
      <c r="P158" s="59" t="s">
        <v>29</v>
      </c>
      <c r="Q158" s="82">
        <v>0</v>
      </c>
      <c r="R158" s="59" t="s">
        <v>29</v>
      </c>
      <c r="S158" s="59" t="s">
        <v>807</v>
      </c>
      <c r="T158" s="59" t="s">
        <v>31</v>
      </c>
    </row>
    <row r="159" spans="1:262" ht="60" customHeight="1" x14ac:dyDescent="0.25">
      <c r="A159" s="77" t="str">
        <f>HYPERLINK("https://www.mpam.mp.br/images/ACT_Nº_009-2022_MP-PGJ-AC_4a7db.pdf","TCT 9/2022 PGJ")</f>
        <v>TCT 9/2022 PGJ</v>
      </c>
      <c r="B159" s="91" t="s">
        <v>21</v>
      </c>
      <c r="C159" s="92" t="s">
        <v>895</v>
      </c>
      <c r="D159" s="59" t="s">
        <v>896</v>
      </c>
      <c r="E159" s="60" t="s">
        <v>897</v>
      </c>
      <c r="F159" s="57">
        <v>44816</v>
      </c>
      <c r="G159" s="57">
        <v>46642</v>
      </c>
      <c r="H159" s="57" t="s">
        <v>25</v>
      </c>
      <c r="I159" s="57" t="s">
        <v>898</v>
      </c>
      <c r="J159" s="59" t="s">
        <v>899</v>
      </c>
      <c r="K159" s="59" t="s">
        <v>900</v>
      </c>
      <c r="L159" s="59" t="s">
        <v>901</v>
      </c>
      <c r="M159" s="59" t="s">
        <v>29</v>
      </c>
      <c r="N159" s="59" t="s">
        <v>29</v>
      </c>
      <c r="O159" s="87">
        <v>0</v>
      </c>
      <c r="P159" s="59" t="s">
        <v>29</v>
      </c>
      <c r="Q159" s="82">
        <v>0</v>
      </c>
      <c r="R159" s="59" t="s">
        <v>29</v>
      </c>
      <c r="S159" s="59" t="s">
        <v>807</v>
      </c>
      <c r="T159" s="59" t="s">
        <v>31</v>
      </c>
    </row>
    <row r="160" spans="1:262" ht="60" customHeight="1" x14ac:dyDescent="0.25">
      <c r="A160" s="77" t="str">
        <f>HYPERLINK("https://www.mpam.mp.br/images/ACT_Nº_008-2022_MP-PGJ_cdfd0.pdfhttps:/www.mpam.mp.br/images/ACT_DE_09-02-22_-_CNMP-ICL_4e4c8.pdf","TCT 08/2022")</f>
        <v>TCT 08/2022</v>
      </c>
      <c r="B160" s="91" t="s">
        <v>21</v>
      </c>
      <c r="C160" s="92" t="s">
        <v>902</v>
      </c>
      <c r="D160" s="59" t="s">
        <v>903</v>
      </c>
      <c r="E160" s="60">
        <v>2021019080</v>
      </c>
      <c r="F160" s="57">
        <v>44805</v>
      </c>
      <c r="G160" s="57">
        <v>46631</v>
      </c>
      <c r="H160" s="57" t="s">
        <v>25</v>
      </c>
      <c r="I160" s="57" t="s">
        <v>904</v>
      </c>
      <c r="J160" s="59" t="s">
        <v>905</v>
      </c>
      <c r="K160" s="84" t="s">
        <v>906</v>
      </c>
      <c r="L160" s="59" t="s">
        <v>907</v>
      </c>
      <c r="M160" s="59" t="s">
        <v>29</v>
      </c>
      <c r="N160" s="59" t="s">
        <v>29</v>
      </c>
      <c r="O160" s="82">
        <v>0</v>
      </c>
      <c r="P160" s="59" t="s">
        <v>29</v>
      </c>
      <c r="Q160" s="82">
        <v>0</v>
      </c>
      <c r="R160" s="59" t="s">
        <v>29</v>
      </c>
      <c r="S160" s="59" t="s">
        <v>807</v>
      </c>
      <c r="T160" s="59" t="s">
        <v>31</v>
      </c>
    </row>
    <row r="161" spans="1:23" ht="60" customHeight="1" x14ac:dyDescent="0.25">
      <c r="A161" s="77" t="str">
        <f>HYPERLINK("https://www.mpam.mp.br/images/ACT_Nº_005-2022__MP-PGJ_4d899.PDF","TCT 5/2022 PGJ")</f>
        <v>TCT 5/2022 PGJ</v>
      </c>
      <c r="B161" s="91" t="s">
        <v>21</v>
      </c>
      <c r="C161" s="56" t="s">
        <v>908</v>
      </c>
      <c r="D161" s="59" t="s">
        <v>909</v>
      </c>
      <c r="E161" s="60" t="s">
        <v>910</v>
      </c>
      <c r="F161" s="57">
        <v>44775</v>
      </c>
      <c r="G161" s="57">
        <v>46601</v>
      </c>
      <c r="H161" s="59" t="s">
        <v>25</v>
      </c>
      <c r="I161" s="59" t="s">
        <v>257</v>
      </c>
      <c r="J161" s="59" t="s">
        <v>258</v>
      </c>
      <c r="K161" s="59" t="s">
        <v>911</v>
      </c>
      <c r="L161" s="59" t="s">
        <v>912</v>
      </c>
      <c r="M161" s="59" t="s">
        <v>29</v>
      </c>
      <c r="N161" s="59" t="s">
        <v>29</v>
      </c>
      <c r="O161" s="87">
        <v>0</v>
      </c>
      <c r="P161" s="59" t="s">
        <v>29</v>
      </c>
      <c r="Q161" s="82">
        <v>0</v>
      </c>
      <c r="R161" s="59" t="s">
        <v>29</v>
      </c>
      <c r="S161" s="59" t="s">
        <v>807</v>
      </c>
      <c r="T161" s="59" t="str">
        <f>HYPERLINK("https://www.mpam.mp.br/images/1º_TA_ao_ACT_nº_005_2022-MP-PGJ-TJAM_9d26b.pdf","1º Termo Aditivo")</f>
        <v>1º Termo Aditivo</v>
      </c>
    </row>
    <row r="162" spans="1:23" ht="60" customHeight="1" x14ac:dyDescent="0.25">
      <c r="A162" s="77" t="str">
        <f>HYPERLINK("https://www.mpam.mp.br/images/ACT_Nº_002-2022__MP-PGJ_bc205.pdf","TCT 2/2022 PGJ")</f>
        <v>TCT 2/2022 PGJ</v>
      </c>
      <c r="B162" s="91" t="s">
        <v>21</v>
      </c>
      <c r="C162" s="56" t="s">
        <v>913</v>
      </c>
      <c r="D162" s="59" t="s">
        <v>909</v>
      </c>
      <c r="E162" s="60" t="s">
        <v>914</v>
      </c>
      <c r="F162" s="57">
        <v>44775</v>
      </c>
      <c r="G162" s="57">
        <v>46601</v>
      </c>
      <c r="H162" s="59" t="s">
        <v>25</v>
      </c>
      <c r="I162" s="59" t="s">
        <v>915</v>
      </c>
      <c r="J162" s="59" t="s">
        <v>916</v>
      </c>
      <c r="K162" s="59" t="s">
        <v>917</v>
      </c>
      <c r="L162" s="59" t="s">
        <v>918</v>
      </c>
      <c r="M162" s="59" t="s">
        <v>29</v>
      </c>
      <c r="N162" s="59" t="s">
        <v>29</v>
      </c>
      <c r="O162" s="82">
        <v>0</v>
      </c>
      <c r="P162" s="59" t="s">
        <v>29</v>
      </c>
      <c r="Q162" s="82">
        <v>0</v>
      </c>
      <c r="R162" s="59" t="s">
        <v>29</v>
      </c>
      <c r="S162" s="59" t="s">
        <v>807</v>
      </c>
      <c r="T162" s="59" t="s">
        <v>31</v>
      </c>
    </row>
    <row r="163" spans="1:23" ht="60" customHeight="1" x14ac:dyDescent="0.25">
      <c r="A163" s="77" t="str">
        <f>HYPERLINK("https://www.mpam.mp.br/images/Termo_de_Doação_nº_011-2022_-_CDL-MANAUS_ab8ee.pdf","TD 11/2022 PGJ")</f>
        <v>TD 11/2022 PGJ</v>
      </c>
      <c r="B163" s="91" t="s">
        <v>874</v>
      </c>
      <c r="C163" s="92" t="s">
        <v>919</v>
      </c>
      <c r="D163" s="57" t="s">
        <v>920</v>
      </c>
      <c r="E163" s="60" t="s">
        <v>921</v>
      </c>
      <c r="F163" s="57">
        <v>44755</v>
      </c>
      <c r="G163" s="57" t="s">
        <v>810</v>
      </c>
      <c r="H163" s="57" t="s">
        <v>25</v>
      </c>
      <c r="I163" s="57" t="s">
        <v>550</v>
      </c>
      <c r="J163" s="59" t="s">
        <v>551</v>
      </c>
      <c r="K163" s="59" t="s">
        <v>922</v>
      </c>
      <c r="L163" s="59" t="s">
        <v>923</v>
      </c>
      <c r="M163" s="59" t="s">
        <v>29</v>
      </c>
      <c r="N163" s="59" t="s">
        <v>29</v>
      </c>
      <c r="O163" s="87">
        <v>0</v>
      </c>
      <c r="P163" s="59" t="s">
        <v>29</v>
      </c>
      <c r="Q163" s="82">
        <v>0</v>
      </c>
      <c r="R163" s="59" t="s">
        <v>29</v>
      </c>
      <c r="S163" s="59" t="s">
        <v>807</v>
      </c>
      <c r="T163" s="59" t="s">
        <v>31</v>
      </c>
    </row>
    <row r="164" spans="1:23" ht="60" customHeight="1" x14ac:dyDescent="0.25">
      <c r="A164" s="77" t="str">
        <f>HYPERLINK("https://www.mpam.mp.br/images/Termo_de_Adesão_ao_ACT_Nº_021-2022_MInisterio_da_Justiça_e2bc1.pdf","TA 21/2022 PGJ")</f>
        <v>TA 21/2022 PGJ</v>
      </c>
      <c r="B164" s="91" t="s">
        <v>32</v>
      </c>
      <c r="C164" s="92" t="s">
        <v>924</v>
      </c>
      <c r="D164" s="59" t="s">
        <v>925</v>
      </c>
      <c r="E164" s="60" t="s">
        <v>926</v>
      </c>
      <c r="F164" s="57">
        <v>44778</v>
      </c>
      <c r="G164" s="57">
        <v>46593</v>
      </c>
      <c r="H164" s="57" t="s">
        <v>25</v>
      </c>
      <c r="I164" s="59" t="s">
        <v>673</v>
      </c>
      <c r="J164" s="59" t="s">
        <v>927</v>
      </c>
      <c r="K164" s="59" t="s">
        <v>928</v>
      </c>
      <c r="L164" s="59" t="s">
        <v>929</v>
      </c>
      <c r="M164" s="59" t="s">
        <v>29</v>
      </c>
      <c r="N164" s="59" t="s">
        <v>29</v>
      </c>
      <c r="O164" s="87">
        <v>0</v>
      </c>
      <c r="P164" s="59" t="s">
        <v>29</v>
      </c>
      <c r="Q164" s="82">
        <v>0</v>
      </c>
      <c r="R164" s="59" t="s">
        <v>29</v>
      </c>
      <c r="S164" s="59" t="s">
        <v>807</v>
      </c>
      <c r="T164" s="59" t="s">
        <v>31</v>
      </c>
    </row>
    <row r="165" spans="1:23" ht="60" customHeight="1" x14ac:dyDescent="0.25">
      <c r="A165" s="77" t="str">
        <f>HYPERLINK("https://www.mpam.mp.br/images/ACT_Nº_032-2022_TJAM_986e7.pdf","TCT 32/2022 PGJ")</f>
        <v>TCT 32/2022 PGJ</v>
      </c>
      <c r="B165" s="91" t="s">
        <v>21</v>
      </c>
      <c r="C165" s="56" t="s">
        <v>930</v>
      </c>
      <c r="D165" s="59" t="s">
        <v>931</v>
      </c>
      <c r="E165" s="60" t="s">
        <v>932</v>
      </c>
      <c r="F165" s="57">
        <v>44761</v>
      </c>
      <c r="G165" s="57">
        <v>46587</v>
      </c>
      <c r="H165" s="59" t="s">
        <v>25</v>
      </c>
      <c r="I165" s="59" t="s">
        <v>166</v>
      </c>
      <c r="J165" s="59" t="s">
        <v>933</v>
      </c>
      <c r="K165" s="59" t="s">
        <v>934</v>
      </c>
      <c r="L165" s="59" t="s">
        <v>870</v>
      </c>
      <c r="M165" s="59" t="s">
        <v>29</v>
      </c>
      <c r="N165" s="59" t="s">
        <v>29</v>
      </c>
      <c r="O165" s="87">
        <v>0</v>
      </c>
      <c r="P165" s="59" t="s">
        <v>29</v>
      </c>
      <c r="Q165" s="82">
        <v>0</v>
      </c>
      <c r="R165" s="59" t="s">
        <v>29</v>
      </c>
      <c r="S165" s="59" t="s">
        <v>807</v>
      </c>
      <c r="T165" s="59" t="str">
        <f>HYPERLINK("https://www.mpam.mp.br/images/1º_TA_ao_ACT_Nº_032-2022_-_TJAM-MPAM_4af27.pdf","1º Termo Aditivo")</f>
        <v>1º Termo Aditivo</v>
      </c>
    </row>
    <row r="166" spans="1:23" ht="60" customHeight="1" x14ac:dyDescent="0.25">
      <c r="A166" s="77" t="str">
        <f>HYPERLINK("https://www.mpam.mp.br/images/ACT_Nº_007-2022_MP-SEDUC_31233.pdf","TCT 7/2022 PGJ")</f>
        <v>TCT 7/2022 PGJ</v>
      </c>
      <c r="B166" s="91" t="s">
        <v>21</v>
      </c>
      <c r="C166" s="56" t="s">
        <v>935</v>
      </c>
      <c r="D166" s="59" t="s">
        <v>889</v>
      </c>
      <c r="E166" s="60" t="s">
        <v>936</v>
      </c>
      <c r="F166" s="57">
        <v>44764</v>
      </c>
      <c r="G166" s="57">
        <v>46590</v>
      </c>
      <c r="H166" s="57" t="s">
        <v>25</v>
      </c>
      <c r="I166" s="57" t="s">
        <v>937</v>
      </c>
      <c r="J166" s="59" t="s">
        <v>597</v>
      </c>
      <c r="K166" s="59" t="s">
        <v>938</v>
      </c>
      <c r="L166" s="59" t="s">
        <v>939</v>
      </c>
      <c r="M166" s="59" t="s">
        <v>29</v>
      </c>
      <c r="N166" s="59" t="s">
        <v>29</v>
      </c>
      <c r="O166" s="87">
        <v>0</v>
      </c>
      <c r="P166" s="59" t="s">
        <v>29</v>
      </c>
      <c r="Q166" s="82">
        <v>0</v>
      </c>
      <c r="R166" s="59" t="s">
        <v>29</v>
      </c>
      <c r="S166" s="59" t="s">
        <v>807</v>
      </c>
      <c r="T166" s="83" t="s">
        <v>31</v>
      </c>
    </row>
    <row r="167" spans="1:23" ht="60" customHeight="1" x14ac:dyDescent="0.25">
      <c r="A167" s="77" t="str">
        <f>HYPERLINK("https://www.mpam.mp.br/images/ACT_Nº_006-2022_MPAM-PGJ_66f08.pdf","TCT 6/2022 PGJ")</f>
        <v>TCT 6/2022 PGJ</v>
      </c>
      <c r="B167" s="91" t="s">
        <v>21</v>
      </c>
      <c r="C167" s="92" t="s">
        <v>940</v>
      </c>
      <c r="D167" s="59" t="s">
        <v>941</v>
      </c>
      <c r="E167" s="60" t="s">
        <v>942</v>
      </c>
      <c r="F167" s="57">
        <v>44775</v>
      </c>
      <c r="G167" s="59">
        <v>46588</v>
      </c>
      <c r="H167" s="57" t="s">
        <v>25</v>
      </c>
      <c r="I167" s="57" t="s">
        <v>943</v>
      </c>
      <c r="J167" s="59" t="s">
        <v>791</v>
      </c>
      <c r="K167" s="59" t="s">
        <v>944</v>
      </c>
      <c r="L167" s="68" t="s">
        <v>939</v>
      </c>
      <c r="M167" s="59" t="s">
        <v>29</v>
      </c>
      <c r="N167" s="59" t="s">
        <v>29</v>
      </c>
      <c r="O167" s="87">
        <v>0</v>
      </c>
      <c r="P167" s="59" t="s">
        <v>29</v>
      </c>
      <c r="Q167" s="82">
        <v>0</v>
      </c>
      <c r="R167" s="59" t="s">
        <v>29</v>
      </c>
      <c r="S167" s="59" t="s">
        <v>807</v>
      </c>
      <c r="T167" s="59" t="s">
        <v>31</v>
      </c>
    </row>
    <row r="168" spans="1:23" ht="60" customHeight="1" x14ac:dyDescent="0.25">
      <c r="A168" s="77" t="str">
        <f>HYPERLINK("https://www.mpam.mp.br/images/ACT_Nº_004-2022__MP-PGJ_22efc.pdf","TCT 4/2022 PGJ")</f>
        <v>TCT 4/2022 PGJ</v>
      </c>
      <c r="B168" s="91" t="s">
        <v>21</v>
      </c>
      <c r="C168" s="56" t="s">
        <v>945</v>
      </c>
      <c r="D168" s="59" t="s">
        <v>931</v>
      </c>
      <c r="E168" s="60" t="s">
        <v>946</v>
      </c>
      <c r="F168" s="57">
        <v>44764</v>
      </c>
      <c r="G168" s="57">
        <v>46588</v>
      </c>
      <c r="H168" s="59" t="s">
        <v>25</v>
      </c>
      <c r="I168" s="59" t="s">
        <v>947</v>
      </c>
      <c r="J168" s="59" t="s">
        <v>899</v>
      </c>
      <c r="K168" s="59" t="s">
        <v>948</v>
      </c>
      <c r="L168" s="68" t="s">
        <v>870</v>
      </c>
      <c r="M168" s="59" t="s">
        <v>29</v>
      </c>
      <c r="N168" s="59" t="s">
        <v>29</v>
      </c>
      <c r="O168" s="87">
        <v>0</v>
      </c>
      <c r="P168" s="59" t="s">
        <v>29</v>
      </c>
      <c r="Q168" s="82">
        <v>0</v>
      </c>
      <c r="R168" s="59" t="s">
        <v>29</v>
      </c>
      <c r="S168" s="59" t="s">
        <v>807</v>
      </c>
      <c r="T168" s="59" t="s">
        <v>31</v>
      </c>
      <c r="U168" s="11"/>
      <c r="V168" s="11"/>
      <c r="W168" s="11"/>
    </row>
    <row r="169" spans="1:23" ht="60" customHeight="1" x14ac:dyDescent="0.25">
      <c r="A169" s="77" t="str">
        <f>HYPERLINK("https://www.mpam.mp.br/images/Acordo_de_Cooperacao_Tecnica_nº_001_2022_8992b.pdf","TA_TCT 1/2022 PGJ")</f>
        <v>TA_TCT 1/2022 PGJ</v>
      </c>
      <c r="B169" s="91" t="s">
        <v>949</v>
      </c>
      <c r="C169" s="56" t="s">
        <v>950</v>
      </c>
      <c r="D169" s="59" t="s">
        <v>951</v>
      </c>
      <c r="E169" s="60" t="s">
        <v>952</v>
      </c>
      <c r="F169" s="57">
        <v>44727</v>
      </c>
      <c r="G169" s="57" t="s">
        <v>810</v>
      </c>
      <c r="H169" s="59" t="s">
        <v>25</v>
      </c>
      <c r="I169" s="59" t="s">
        <v>36</v>
      </c>
      <c r="J169" s="59" t="s">
        <v>123</v>
      </c>
      <c r="K169" s="59" t="s">
        <v>824</v>
      </c>
      <c r="L169" s="59" t="s">
        <v>907</v>
      </c>
      <c r="M169" s="59" t="s">
        <v>29</v>
      </c>
      <c r="N169" s="59" t="s">
        <v>29</v>
      </c>
      <c r="O169" s="87">
        <v>0</v>
      </c>
      <c r="P169" s="59" t="s">
        <v>29</v>
      </c>
      <c r="Q169" s="82">
        <v>0</v>
      </c>
      <c r="R169" s="59" t="s">
        <v>29</v>
      </c>
      <c r="S169" s="59" t="s">
        <v>807</v>
      </c>
      <c r="T169" s="59" t="s">
        <v>31</v>
      </c>
      <c r="U169" s="11"/>
      <c r="V169" s="11"/>
      <c r="W169" s="11"/>
    </row>
    <row r="170" spans="1:23" ht="60" customHeight="1" x14ac:dyDescent="0.25">
      <c r="A170" s="77" t="str">
        <f>HYPERLINK("https://www.mpam.mp.br/images/Termo_de_Adesao_ACT_INSS___MPAM_8e1ea.pdf","TCT 0/2022 PGJ")</f>
        <v>TCT 0/2022 PGJ</v>
      </c>
      <c r="B170" s="91" t="s">
        <v>21</v>
      </c>
      <c r="C170" s="56" t="s">
        <v>953</v>
      </c>
      <c r="D170" s="59" t="s">
        <v>951</v>
      </c>
      <c r="E170" s="60" t="s">
        <v>954</v>
      </c>
      <c r="F170" s="57">
        <v>44741</v>
      </c>
      <c r="G170" s="57">
        <v>46604</v>
      </c>
      <c r="H170" s="59" t="s">
        <v>25</v>
      </c>
      <c r="I170" s="59" t="s">
        <v>955</v>
      </c>
      <c r="J170" s="59" t="s">
        <v>123</v>
      </c>
      <c r="K170" s="72" t="s">
        <v>956</v>
      </c>
      <c r="L170" s="84" t="s">
        <v>957</v>
      </c>
      <c r="M170" s="59" t="s">
        <v>29</v>
      </c>
      <c r="N170" s="59" t="s">
        <v>29</v>
      </c>
      <c r="O170" s="87">
        <v>0</v>
      </c>
      <c r="P170" s="59" t="s">
        <v>29</v>
      </c>
      <c r="Q170" s="82">
        <v>0</v>
      </c>
      <c r="R170" s="59" t="s">
        <v>29</v>
      </c>
      <c r="S170" s="59" t="s">
        <v>807</v>
      </c>
      <c r="T170" s="59" t="s">
        <v>31</v>
      </c>
      <c r="U170" s="11"/>
      <c r="V170" s="11"/>
      <c r="W170" s="11"/>
    </row>
    <row r="171" spans="1:23" ht="60" customHeight="1" x14ac:dyDescent="0.25">
      <c r="A171" s="77" t="str">
        <f>HYPERLINK("https://www.mpam.mp.br/images/ACT_nº_003-2022_-_MP-PGJ_81eed.pdf","TCT 3/2022 PGJ")</f>
        <v>TCT 3/2022 PGJ</v>
      </c>
      <c r="B171" s="91" t="s">
        <v>21</v>
      </c>
      <c r="C171" s="56" t="s">
        <v>958</v>
      </c>
      <c r="D171" s="59" t="s">
        <v>959</v>
      </c>
      <c r="E171" s="60" t="s">
        <v>960</v>
      </c>
      <c r="F171" s="57">
        <v>44727</v>
      </c>
      <c r="G171" s="57">
        <v>46752</v>
      </c>
      <c r="H171" s="59" t="s">
        <v>25</v>
      </c>
      <c r="I171" s="59" t="s">
        <v>783</v>
      </c>
      <c r="J171" s="59" t="s">
        <v>784</v>
      </c>
      <c r="K171" s="72" t="s">
        <v>961</v>
      </c>
      <c r="L171" s="59" t="s">
        <v>962</v>
      </c>
      <c r="M171" s="59" t="s">
        <v>29</v>
      </c>
      <c r="N171" s="59" t="s">
        <v>29</v>
      </c>
      <c r="O171" s="87">
        <v>0</v>
      </c>
      <c r="P171" s="59" t="s">
        <v>29</v>
      </c>
      <c r="Q171" s="82">
        <v>0</v>
      </c>
      <c r="R171" s="59" t="s">
        <v>29</v>
      </c>
      <c r="S171" s="59" t="s">
        <v>807</v>
      </c>
      <c r="T171" s="59" t="s">
        <v>31</v>
      </c>
      <c r="U171" s="11"/>
      <c r="V171" s="11"/>
      <c r="W171" s="11"/>
    </row>
    <row r="172" spans="1:23" ht="60" customHeight="1" x14ac:dyDescent="0.25">
      <c r="A172" s="77" t="str">
        <f>HYPERLINK("https://www.mpam.mp.br/images/ACT_nº_004-2022_-_TRE-MPE_9d656.pdf","TCT 4/2022 PGJ")</f>
        <v>TCT 4/2022 PGJ</v>
      </c>
      <c r="B172" s="91" t="s">
        <v>21</v>
      </c>
      <c r="C172" s="56" t="s">
        <v>963</v>
      </c>
      <c r="D172" s="59" t="s">
        <v>964</v>
      </c>
      <c r="E172" s="60">
        <v>2022004603</v>
      </c>
      <c r="F172" s="57">
        <v>44686</v>
      </c>
      <c r="G172" s="57">
        <v>46690</v>
      </c>
      <c r="H172" s="59" t="s">
        <v>25</v>
      </c>
      <c r="I172" s="59" t="s">
        <v>257</v>
      </c>
      <c r="J172" s="59" t="s">
        <v>258</v>
      </c>
      <c r="K172" s="72"/>
      <c r="L172" s="97" t="s">
        <v>965</v>
      </c>
      <c r="M172" s="59" t="s">
        <v>29</v>
      </c>
      <c r="N172" s="59" t="s">
        <v>29</v>
      </c>
      <c r="O172" s="87">
        <v>0</v>
      </c>
      <c r="P172" s="59" t="s">
        <v>29</v>
      </c>
      <c r="Q172" s="82">
        <v>0</v>
      </c>
      <c r="R172" s="59" t="s">
        <v>29</v>
      </c>
      <c r="S172" s="59" t="s">
        <v>807</v>
      </c>
      <c r="T172" s="59" t="s">
        <v>31</v>
      </c>
      <c r="U172" s="11"/>
      <c r="V172" s="11"/>
      <c r="W172" s="11"/>
    </row>
    <row r="173" spans="1:23" ht="60" customHeight="1" x14ac:dyDescent="0.25">
      <c r="A173" s="77" t="str">
        <f>HYPERLINK("https://www.mpam.mp.br/images/TCT_51.2022___MP_2b5dd.pdf","TCT 51/2022 PGJ")</f>
        <v>TCT 51/2022 PGJ</v>
      </c>
      <c r="B173" s="91" t="s">
        <v>21</v>
      </c>
      <c r="C173" s="56" t="s">
        <v>966</v>
      </c>
      <c r="D173" s="59" t="s">
        <v>967</v>
      </c>
      <c r="E173" s="60" t="s">
        <v>968</v>
      </c>
      <c r="F173" s="57">
        <v>44676</v>
      </c>
      <c r="G173" s="57">
        <v>46481</v>
      </c>
      <c r="H173" s="59" t="s">
        <v>25</v>
      </c>
      <c r="I173" s="59" t="s">
        <v>969</v>
      </c>
      <c r="J173" s="59" t="s">
        <v>597</v>
      </c>
      <c r="K173" s="59" t="s">
        <v>970</v>
      </c>
      <c r="L173" s="59" t="s">
        <v>971</v>
      </c>
      <c r="M173" s="59" t="s">
        <v>29</v>
      </c>
      <c r="N173" s="59" t="s">
        <v>29</v>
      </c>
      <c r="O173" s="87">
        <v>0</v>
      </c>
      <c r="P173" s="59" t="s">
        <v>29</v>
      </c>
      <c r="Q173" s="82">
        <v>0</v>
      </c>
      <c r="R173" s="59" t="s">
        <v>29</v>
      </c>
      <c r="S173" s="59" t="s">
        <v>807</v>
      </c>
      <c r="T173" s="83" t="str">
        <f>HYPERLINK("https://www.mpam.mp.br/images/2º_TAP_a_CESSÃO_ONEROSA_nº_001-2021-TJAM_116db.pdf","2º TAP")</f>
        <v>2º TAP</v>
      </c>
      <c r="U173" s="11"/>
      <c r="V173" s="11"/>
      <c r="W173" s="11"/>
    </row>
    <row r="174" spans="1:23" ht="60" customHeight="1" x14ac:dyDescent="0.25">
      <c r="A174" s="77" t="str">
        <f>HYPERLINK("https://www.mpam.mp.br/images/Termo_de_Doação_Nº_003-2022-TJAM_1609f.pdf","TD 3/2022 PGJ")</f>
        <v>TD 3/2022 PGJ</v>
      </c>
      <c r="B174" s="91" t="s">
        <v>32</v>
      </c>
      <c r="C174" s="56" t="s">
        <v>972</v>
      </c>
      <c r="D174" s="59" t="s">
        <v>973</v>
      </c>
      <c r="E174" s="60" t="s">
        <v>974</v>
      </c>
      <c r="F174" s="57">
        <v>44652</v>
      </c>
      <c r="G174" s="57" t="s">
        <v>810</v>
      </c>
      <c r="H174" s="59" t="s">
        <v>25</v>
      </c>
      <c r="I174" s="59" t="s">
        <v>166</v>
      </c>
      <c r="J174" s="59" t="s">
        <v>167</v>
      </c>
      <c r="K174" s="59" t="s">
        <v>975</v>
      </c>
      <c r="L174" s="59" t="s">
        <v>923</v>
      </c>
      <c r="M174" s="59" t="s">
        <v>29</v>
      </c>
      <c r="N174" s="59" t="s">
        <v>29</v>
      </c>
      <c r="O174" s="87">
        <v>0</v>
      </c>
      <c r="P174" s="59" t="s">
        <v>29</v>
      </c>
      <c r="Q174" s="82">
        <v>0</v>
      </c>
      <c r="R174" s="59" t="s">
        <v>29</v>
      </c>
      <c r="S174" s="59" t="s">
        <v>807</v>
      </c>
      <c r="T174" s="59" t="s">
        <v>31</v>
      </c>
      <c r="U174" s="11"/>
      <c r="V174" s="11"/>
      <c r="W174" s="11"/>
    </row>
    <row r="175" spans="1:23" ht="60" customHeight="1" x14ac:dyDescent="0.25">
      <c r="A175" s="77" t="str">
        <f>HYPERLINK("https://www.mpam.mp.br/images/Termo_de_Permuta_de_Imóveis_nº_001-2022-MP_PGJ_a4f93.pdf","TCT 1/2022 PGJ")</f>
        <v>TCT 1/2022 PGJ</v>
      </c>
      <c r="B175" s="91" t="s">
        <v>21</v>
      </c>
      <c r="C175" s="56" t="s">
        <v>976</v>
      </c>
      <c r="D175" s="59" t="s">
        <v>977</v>
      </c>
      <c r="E175" s="60" t="s">
        <v>978</v>
      </c>
      <c r="F175" s="57">
        <v>44623</v>
      </c>
      <c r="G175" s="59" t="s">
        <v>810</v>
      </c>
      <c r="H175" s="57" t="s">
        <v>25</v>
      </c>
      <c r="I175" s="57" t="s">
        <v>979</v>
      </c>
      <c r="J175" s="59" t="s">
        <v>980</v>
      </c>
      <c r="K175" s="72" t="s">
        <v>981</v>
      </c>
      <c r="L175" s="87" t="s">
        <v>982</v>
      </c>
      <c r="M175" s="59" t="s">
        <v>29</v>
      </c>
      <c r="N175" s="59" t="s">
        <v>29</v>
      </c>
      <c r="O175" s="87">
        <v>0</v>
      </c>
      <c r="P175" s="59" t="s">
        <v>29</v>
      </c>
      <c r="Q175" s="82">
        <v>0</v>
      </c>
      <c r="R175" s="59" t="s">
        <v>29</v>
      </c>
      <c r="S175" s="59" t="s">
        <v>807</v>
      </c>
      <c r="T175" s="59" t="s">
        <v>31</v>
      </c>
      <c r="U175" s="11"/>
      <c r="V175" s="11"/>
      <c r="W175" s="11"/>
    </row>
    <row r="176" spans="1:23" ht="60" customHeight="1" x14ac:dyDescent="0.25">
      <c r="A176" s="77" t="str">
        <f>HYPERLINK("https://www.mpam.mp.br/images/Pacto_Nacional_Pela_Primeira_Infância_e0fcd.pdf","TAP 0596/2019")</f>
        <v>TAP 0596/2019</v>
      </c>
      <c r="B176" s="91" t="s">
        <v>983</v>
      </c>
      <c r="C176" s="56" t="s">
        <v>984</v>
      </c>
      <c r="D176" s="59" t="s">
        <v>985</v>
      </c>
      <c r="E176" s="60">
        <v>2019020307</v>
      </c>
      <c r="F176" s="57">
        <v>44823</v>
      </c>
      <c r="G176" s="57" t="s">
        <v>810</v>
      </c>
      <c r="H176" s="59" t="s">
        <v>25</v>
      </c>
      <c r="I176" s="59" t="s">
        <v>986</v>
      </c>
      <c r="J176" s="59" t="s">
        <v>987</v>
      </c>
      <c r="K176" s="59"/>
      <c r="L176" s="59" t="s">
        <v>988</v>
      </c>
      <c r="M176" s="59" t="s">
        <v>29</v>
      </c>
      <c r="N176" s="59" t="s">
        <v>29</v>
      </c>
      <c r="O176" s="87">
        <v>0</v>
      </c>
      <c r="P176" s="59" t="s">
        <v>29</v>
      </c>
      <c r="Q176" s="82">
        <v>0</v>
      </c>
      <c r="R176" s="59" t="s">
        <v>29</v>
      </c>
      <c r="S176" s="59" t="s">
        <v>807</v>
      </c>
      <c r="T176" s="59" t="s">
        <v>31</v>
      </c>
      <c r="U176" s="11"/>
      <c r="V176" s="11"/>
      <c r="W176" s="11"/>
    </row>
    <row r="177" spans="1:23" ht="60" customHeight="1" x14ac:dyDescent="0.25">
      <c r="A177" s="77" t="str">
        <f>HYPERLINK("https://www.mpam.mp.br/images/Termo_de_Adesao.ao_ACT_nº_008-2021-MP-PGJ_19951.pdf","Termo de Adesão nº 008-2021-DG")</f>
        <v>Termo de Adesão nº 008-2021-DG</v>
      </c>
      <c r="B177" s="91" t="s">
        <v>32</v>
      </c>
      <c r="C177" s="56" t="s">
        <v>989</v>
      </c>
      <c r="D177" s="59">
        <v>44609</v>
      </c>
      <c r="E177" s="60" t="s">
        <v>990</v>
      </c>
      <c r="F177" s="57">
        <v>44609</v>
      </c>
      <c r="G177" s="57">
        <v>46300</v>
      </c>
      <c r="H177" s="59" t="s">
        <v>25</v>
      </c>
      <c r="I177" s="59" t="s">
        <v>36</v>
      </c>
      <c r="J177" s="59" t="s">
        <v>123</v>
      </c>
      <c r="K177" s="59" t="s">
        <v>991</v>
      </c>
      <c r="L177" s="59" t="s">
        <v>939</v>
      </c>
      <c r="M177" s="59" t="s">
        <v>29</v>
      </c>
      <c r="N177" s="59" t="s">
        <v>29</v>
      </c>
      <c r="O177" s="87">
        <v>0</v>
      </c>
      <c r="P177" s="59" t="s">
        <v>29</v>
      </c>
      <c r="Q177" s="82">
        <v>0</v>
      </c>
      <c r="R177" s="59" t="s">
        <v>29</v>
      </c>
      <c r="S177" s="59" t="s">
        <v>807</v>
      </c>
      <c r="T177" s="83" t="s">
        <v>31</v>
      </c>
      <c r="U177" s="11"/>
      <c r="V177" s="11"/>
      <c r="W177" s="11"/>
    </row>
    <row r="178" spans="1:23" ht="60" customHeight="1" x14ac:dyDescent="0.25">
      <c r="A178" s="77" t="str">
        <f>HYPERLINK("https://www.mpam.mp.br/images/Termo_de_adesão_ao_CT_nº_081-2021-MP-CMNP_98298.pdf","Termo de Adesão ao ACT nº 81/2022 CNJ - CNMP")</f>
        <v>Termo de Adesão ao ACT nº 81/2022 CNJ - CNMP</v>
      </c>
      <c r="B178" s="91" t="s">
        <v>32</v>
      </c>
      <c r="C178" s="56" t="s">
        <v>992</v>
      </c>
      <c r="D178" s="59" t="s">
        <v>993</v>
      </c>
      <c r="E178" s="60" t="s">
        <v>994</v>
      </c>
      <c r="F178" s="57">
        <v>44601</v>
      </c>
      <c r="G178" s="57">
        <v>46156</v>
      </c>
      <c r="H178" s="59" t="s">
        <v>636</v>
      </c>
      <c r="I178" s="59" t="s">
        <v>36</v>
      </c>
      <c r="J178" s="59" t="s">
        <v>123</v>
      </c>
      <c r="K178" s="98" t="s">
        <v>991</v>
      </c>
      <c r="L178" s="59" t="s">
        <v>995</v>
      </c>
      <c r="M178" s="59" t="s">
        <v>29</v>
      </c>
      <c r="N178" s="59" t="s">
        <v>29</v>
      </c>
      <c r="O178" s="87">
        <v>0</v>
      </c>
      <c r="P178" s="59" t="s">
        <v>29</v>
      </c>
      <c r="Q178" s="82">
        <v>0</v>
      </c>
      <c r="R178" s="59" t="s">
        <v>29</v>
      </c>
      <c r="S178" s="59" t="s">
        <v>807</v>
      </c>
      <c r="T178" s="59" t="s">
        <v>31</v>
      </c>
      <c r="U178" s="11"/>
      <c r="V178" s="11"/>
      <c r="W178" s="11"/>
    </row>
    <row r="179" spans="1:23" ht="60" customHeight="1" x14ac:dyDescent="0.25">
      <c r="A179" s="77" t="str">
        <f>HYPERLINK("https://www.mpam.mp.br/images/ACT_nº_029-2021-MP-PGJ_983f2.pdf","TCT 29/2021 PGJ")</f>
        <v>TCT 29/2021 PGJ</v>
      </c>
      <c r="B179" s="91" t="s">
        <v>21</v>
      </c>
      <c r="C179" s="56" t="s">
        <v>996</v>
      </c>
      <c r="D179" s="59" t="s">
        <v>997</v>
      </c>
      <c r="E179" s="60" t="s">
        <v>998</v>
      </c>
      <c r="F179" s="57">
        <v>44543</v>
      </c>
      <c r="G179" s="57">
        <v>46369</v>
      </c>
      <c r="H179" s="59" t="s">
        <v>25</v>
      </c>
      <c r="I179" s="59" t="s">
        <v>999</v>
      </c>
      <c r="J179" s="59" t="s">
        <v>1000</v>
      </c>
      <c r="K179" s="59" t="s">
        <v>1001</v>
      </c>
      <c r="L179" s="84" t="s">
        <v>1002</v>
      </c>
      <c r="M179" s="59" t="s">
        <v>29</v>
      </c>
      <c r="N179" s="59" t="s">
        <v>29</v>
      </c>
      <c r="O179" s="87">
        <v>0</v>
      </c>
      <c r="P179" s="59" t="s">
        <v>29</v>
      </c>
      <c r="Q179" s="82">
        <v>0</v>
      </c>
      <c r="R179" s="59" t="s">
        <v>29</v>
      </c>
      <c r="S179" s="59" t="s">
        <v>807</v>
      </c>
      <c r="T179" s="59" t="s">
        <v>31</v>
      </c>
      <c r="U179" s="11"/>
      <c r="V179" s="11"/>
      <c r="W179" s="11"/>
    </row>
    <row r="180" spans="1:23" ht="60" customHeight="1" x14ac:dyDescent="0.25">
      <c r="A180" s="77" t="str">
        <f>HYPERLINK("https://www.mpam.mp.br/images/ACT_MPF-MP-AM-MPCON_d6c4d.pdf","TCT S/N - 2021 PGJ")</f>
        <v>TCT S/N - 2021 PGJ</v>
      </c>
      <c r="B180" s="91" t="s">
        <v>21</v>
      </c>
      <c r="C180" s="56" t="s">
        <v>1003</v>
      </c>
      <c r="D180" s="59" t="s">
        <v>1004</v>
      </c>
      <c r="E180" s="60" t="s">
        <v>1005</v>
      </c>
      <c r="F180" s="57">
        <v>44539</v>
      </c>
      <c r="G180" s="57" t="s">
        <v>810</v>
      </c>
      <c r="H180" s="59" t="s">
        <v>25</v>
      </c>
      <c r="I180" s="59" t="s">
        <v>1006</v>
      </c>
      <c r="J180" s="59" t="s">
        <v>1007</v>
      </c>
      <c r="K180" s="59" t="s">
        <v>1008</v>
      </c>
      <c r="L180" s="59" t="s">
        <v>1009</v>
      </c>
      <c r="M180" s="59" t="s">
        <v>29</v>
      </c>
      <c r="N180" s="59" t="s">
        <v>29</v>
      </c>
      <c r="O180" s="87">
        <v>0</v>
      </c>
      <c r="P180" s="59" t="s">
        <v>29</v>
      </c>
      <c r="Q180" s="82">
        <v>0</v>
      </c>
      <c r="R180" s="59" t="s">
        <v>29</v>
      </c>
      <c r="S180" s="59" t="s">
        <v>807</v>
      </c>
      <c r="T180" s="59" t="s">
        <v>31</v>
      </c>
      <c r="U180" s="11"/>
      <c r="V180" s="11"/>
      <c r="W180" s="11"/>
    </row>
    <row r="181" spans="1:23" ht="60" customHeight="1" x14ac:dyDescent="0.25">
      <c r="A181" s="77" t="str">
        <f>HYPERLINK("https://www.mpam.mp.br/images/ACT_nº_026-2021-MP-PGJ_e110e.pdf","TCT 26/2021 PGJ")</f>
        <v>TCT 26/2021 PGJ</v>
      </c>
      <c r="B181" s="91" t="s">
        <v>21</v>
      </c>
      <c r="C181" s="56" t="s">
        <v>1010</v>
      </c>
      <c r="D181" s="59" t="s">
        <v>1011</v>
      </c>
      <c r="E181" s="60" t="s">
        <v>1012</v>
      </c>
      <c r="F181" s="57">
        <v>44519</v>
      </c>
      <c r="G181" s="57">
        <v>46344</v>
      </c>
      <c r="H181" s="59" t="s">
        <v>25</v>
      </c>
      <c r="I181" s="59" t="s">
        <v>856</v>
      </c>
      <c r="J181" s="59" t="s">
        <v>857</v>
      </c>
      <c r="K181" s="59" t="s">
        <v>1013</v>
      </c>
      <c r="L181" s="59" t="s">
        <v>1014</v>
      </c>
      <c r="M181" s="59" t="s">
        <v>29</v>
      </c>
      <c r="N181" s="59" t="s">
        <v>29</v>
      </c>
      <c r="O181" s="87">
        <v>0</v>
      </c>
      <c r="P181" s="59" t="s">
        <v>29</v>
      </c>
      <c r="Q181" s="82">
        <v>0</v>
      </c>
      <c r="R181" s="59" t="s">
        <v>29</v>
      </c>
      <c r="S181" s="59" t="s">
        <v>807</v>
      </c>
      <c r="T181" s="59" t="s">
        <v>31</v>
      </c>
      <c r="U181" s="11"/>
      <c r="V181" s="11"/>
      <c r="W181" s="11"/>
    </row>
    <row r="182" spans="1:23" ht="60" customHeight="1" x14ac:dyDescent="0.25">
      <c r="A182" s="77" t="str">
        <f>HYPERLINK("https://www.mpam.mp.br/images/ACT_Nº_017-2021-MP-PGJ_90ab9.pdf","TCT 17/2021 PGJ")</f>
        <v>TCT 17/2021 PGJ</v>
      </c>
      <c r="B182" s="91" t="s">
        <v>21</v>
      </c>
      <c r="C182" s="56" t="s">
        <v>1015</v>
      </c>
      <c r="D182" s="59" t="s">
        <v>1016</v>
      </c>
      <c r="E182" s="60" t="s">
        <v>1017</v>
      </c>
      <c r="F182" s="57">
        <v>44516</v>
      </c>
      <c r="G182" s="57">
        <v>46337</v>
      </c>
      <c r="H182" s="59" t="s">
        <v>25</v>
      </c>
      <c r="I182" s="59" t="s">
        <v>736</v>
      </c>
      <c r="J182" s="59" t="s">
        <v>44</v>
      </c>
      <c r="K182" s="59" t="s">
        <v>1018</v>
      </c>
      <c r="L182" s="59" t="s">
        <v>1019</v>
      </c>
      <c r="M182" s="59" t="s">
        <v>29</v>
      </c>
      <c r="N182" s="59" t="s">
        <v>29</v>
      </c>
      <c r="O182" s="87">
        <v>0</v>
      </c>
      <c r="P182" s="59" t="s">
        <v>29</v>
      </c>
      <c r="Q182" s="87">
        <v>0</v>
      </c>
      <c r="R182" s="59" t="s">
        <v>29</v>
      </c>
      <c r="S182" s="59" t="s">
        <v>807</v>
      </c>
      <c r="T182" s="59" t="s">
        <v>31</v>
      </c>
      <c r="U182" s="11"/>
      <c r="V182" s="11"/>
      <c r="W182" s="11"/>
    </row>
    <row r="183" spans="1:23" ht="60" customHeight="1" x14ac:dyDescent="0.25">
      <c r="A183" s="77" t="str">
        <f>HYPERLINK("https://www.mpam.mp.br/images/ACT_nº_024-2021-MP-PGJ_f0c51.pdf","TCT 24/2021 PGJ")</f>
        <v>TCT 24/2021 PGJ</v>
      </c>
      <c r="B183" s="91" t="s">
        <v>21</v>
      </c>
      <c r="C183" s="56" t="s">
        <v>1020</v>
      </c>
      <c r="D183" s="59" t="s">
        <v>1021</v>
      </c>
      <c r="E183" s="60" t="s">
        <v>1022</v>
      </c>
      <c r="F183" s="57">
        <v>44510</v>
      </c>
      <c r="G183" s="57">
        <v>46335</v>
      </c>
      <c r="H183" s="59" t="s">
        <v>25</v>
      </c>
      <c r="I183" s="59" t="s">
        <v>1023</v>
      </c>
      <c r="J183" s="59" t="s">
        <v>1024</v>
      </c>
      <c r="K183" s="59" t="s">
        <v>1025</v>
      </c>
      <c r="L183" s="68" t="s">
        <v>1026</v>
      </c>
      <c r="M183" s="59" t="s">
        <v>29</v>
      </c>
      <c r="N183" s="59" t="s">
        <v>29</v>
      </c>
      <c r="O183" s="87">
        <v>0</v>
      </c>
      <c r="P183" s="59" t="s">
        <v>29</v>
      </c>
      <c r="Q183" s="82">
        <v>0</v>
      </c>
      <c r="R183" s="59" t="s">
        <v>29</v>
      </c>
      <c r="S183" s="59" t="s">
        <v>807</v>
      </c>
      <c r="T183" s="59" t="s">
        <v>31</v>
      </c>
      <c r="U183" s="11"/>
      <c r="V183" s="11"/>
      <c r="W183" s="11"/>
    </row>
    <row r="184" spans="1:23" ht="60" customHeight="1" x14ac:dyDescent="0.25">
      <c r="A184" s="77" t="str">
        <f>HYPERLINK("https://www.mpam.mp.br/images/Termo_de_Cessão_de_Uso_nº_002-2021-MP-PGJ_9f43b.pdf","TC DE USO DE IMÓVEL nº 2/2021 PGJ")</f>
        <v>TC DE USO DE IMÓVEL nº 2/2021 PGJ</v>
      </c>
      <c r="B184" s="91" t="s">
        <v>491</v>
      </c>
      <c r="C184" s="56" t="s">
        <v>1027</v>
      </c>
      <c r="D184" s="59" t="s">
        <v>1028</v>
      </c>
      <c r="E184" s="60" t="s">
        <v>1029</v>
      </c>
      <c r="F184" s="57">
        <v>40852</v>
      </c>
      <c r="G184" s="57">
        <v>46331</v>
      </c>
      <c r="H184" s="59" t="s">
        <v>25</v>
      </c>
      <c r="I184" s="59" t="s">
        <v>1030</v>
      </c>
      <c r="J184" s="59" t="s">
        <v>1031</v>
      </c>
      <c r="K184" s="59" t="s">
        <v>1032</v>
      </c>
      <c r="L184" s="59" t="s">
        <v>1002</v>
      </c>
      <c r="M184" s="59" t="s">
        <v>29</v>
      </c>
      <c r="N184" s="59" t="s">
        <v>29</v>
      </c>
      <c r="O184" s="87">
        <v>0</v>
      </c>
      <c r="P184" s="59" t="s">
        <v>29</v>
      </c>
      <c r="Q184" s="82">
        <v>0</v>
      </c>
      <c r="R184" s="59" t="s">
        <v>29</v>
      </c>
      <c r="S184" s="59" t="s">
        <v>807</v>
      </c>
      <c r="T184" s="59" t="s">
        <v>31</v>
      </c>
      <c r="U184" s="11"/>
      <c r="V184" s="11"/>
      <c r="W184" s="11"/>
    </row>
    <row r="185" spans="1:23" ht="60" customHeight="1" x14ac:dyDescent="0.25">
      <c r="A185" s="77" t="str">
        <f>HYPERLINK("https://www.mpam.mp.br/images/TERMO_DE_ADESÃO_AO_ACT_Nº_09-2021_9aa14.pdf","Termo de Adesao nº  09/21 CNMP")</f>
        <v>Termo de Adesao nº  09/21 CNMP</v>
      </c>
      <c r="B185" s="91" t="s">
        <v>491</v>
      </c>
      <c r="C185" s="56" t="s">
        <v>1033</v>
      </c>
      <c r="D185" s="59" t="s">
        <v>1034</v>
      </c>
      <c r="E185" s="60" t="s">
        <v>1035</v>
      </c>
      <c r="F185" s="57">
        <v>44482</v>
      </c>
      <c r="G185" s="57">
        <v>48072</v>
      </c>
      <c r="H185" s="59" t="s">
        <v>25</v>
      </c>
      <c r="I185" s="59" t="s">
        <v>955</v>
      </c>
      <c r="J185" s="59" t="s">
        <v>1036</v>
      </c>
      <c r="K185" s="59" t="s">
        <v>1037</v>
      </c>
      <c r="L185" s="59" t="s">
        <v>1038</v>
      </c>
      <c r="M185" s="59" t="s">
        <v>29</v>
      </c>
      <c r="N185" s="59" t="s">
        <v>29</v>
      </c>
      <c r="O185" s="87">
        <v>0</v>
      </c>
      <c r="P185" s="59" t="s">
        <v>29</v>
      </c>
      <c r="Q185" s="82">
        <v>0</v>
      </c>
      <c r="R185" s="59" t="s">
        <v>29</v>
      </c>
      <c r="S185" s="59" t="s">
        <v>807</v>
      </c>
      <c r="T185" s="76" t="s">
        <v>31</v>
      </c>
      <c r="U185" s="11"/>
      <c r="V185" s="11"/>
      <c r="W185" s="11"/>
    </row>
    <row r="186" spans="1:23" ht="60" customHeight="1" x14ac:dyDescent="0.25">
      <c r="A186" s="77" t="str">
        <f>HYPERLINK("https://www.mpam.mp.br/images/ACT_nº_023-2021-MP-PGJ_412fe.pdf","TCT 23/2021 PGJ")</f>
        <v>TCT 23/2021 PGJ</v>
      </c>
      <c r="B186" s="91" t="s">
        <v>21</v>
      </c>
      <c r="C186" s="56" t="s">
        <v>1039</v>
      </c>
      <c r="D186" s="59" t="s">
        <v>1040</v>
      </c>
      <c r="E186" s="60" t="s">
        <v>1041</v>
      </c>
      <c r="F186" s="57">
        <v>44489</v>
      </c>
      <c r="G186" s="59">
        <v>46315</v>
      </c>
      <c r="H186" s="59" t="s">
        <v>25</v>
      </c>
      <c r="I186" s="59" t="s">
        <v>330</v>
      </c>
      <c r="J186" s="59" t="s">
        <v>331</v>
      </c>
      <c r="K186" s="59" t="s">
        <v>1042</v>
      </c>
      <c r="L186" s="87" t="s">
        <v>971</v>
      </c>
      <c r="M186" s="59" t="s">
        <v>29</v>
      </c>
      <c r="N186" s="59" t="s">
        <v>29</v>
      </c>
      <c r="O186" s="87">
        <v>0</v>
      </c>
      <c r="P186" s="59" t="s">
        <v>29</v>
      </c>
      <c r="Q186" s="82">
        <v>0</v>
      </c>
      <c r="R186" s="59" t="s">
        <v>29</v>
      </c>
      <c r="S186" s="59" t="s">
        <v>807</v>
      </c>
      <c r="T186" s="59" t="s">
        <v>31</v>
      </c>
      <c r="U186" s="11"/>
      <c r="V186" s="11"/>
      <c r="W186" s="11"/>
    </row>
    <row r="187" spans="1:23" ht="60" customHeight="1" x14ac:dyDescent="0.25">
      <c r="A187" s="77" t="str">
        <f>HYPERLINK("https://www.mpam.mp.br/images/ACT_nº_027-2021-MPAM-PGJ_6ed9b.pdf","TCT 27/2021-TJAM")</f>
        <v>TCT 27/2021-TJAM</v>
      </c>
      <c r="B187" s="91" t="s">
        <v>21</v>
      </c>
      <c r="C187" s="56" t="s">
        <v>1043</v>
      </c>
      <c r="D187" s="59" t="s">
        <v>1034</v>
      </c>
      <c r="E187" s="60">
        <v>2020005395</v>
      </c>
      <c r="F187" s="57">
        <v>44482</v>
      </c>
      <c r="G187" s="59">
        <v>46285</v>
      </c>
      <c r="H187" s="59" t="s">
        <v>25</v>
      </c>
      <c r="I187" s="59" t="s">
        <v>166</v>
      </c>
      <c r="J187" s="59" t="s">
        <v>167</v>
      </c>
      <c r="K187" s="59" t="s">
        <v>1044</v>
      </c>
      <c r="L187" s="59" t="s">
        <v>988</v>
      </c>
      <c r="M187" s="59" t="s">
        <v>29</v>
      </c>
      <c r="N187" s="59" t="s">
        <v>29</v>
      </c>
      <c r="O187" s="87">
        <v>0</v>
      </c>
      <c r="P187" s="59" t="s">
        <v>29</v>
      </c>
      <c r="Q187" s="82">
        <v>0</v>
      </c>
      <c r="R187" s="59" t="s">
        <v>29</v>
      </c>
      <c r="S187" s="59" t="s">
        <v>807</v>
      </c>
      <c r="T187" s="59" t="str">
        <f>HYPERLINK("https://www.mpam.mp.br/images/1º_TA_ao_ACT_nº_027_2021_-_TJAM_5f0ac.pdf","1º Termo Aditivo")</f>
        <v>1º Termo Aditivo</v>
      </c>
      <c r="U187" s="11"/>
      <c r="V187" s="11"/>
      <c r="W187" s="11"/>
    </row>
    <row r="188" spans="1:23" ht="60" customHeight="1" x14ac:dyDescent="0.25">
      <c r="A188" s="77" t="str">
        <f>HYPERLINK("https://www.mpam.mp.br/images/TERMO_DE_ADESÃO_AO_ACORDO_DE_COOPERAÇÃO_TÉCNICA_DE_04_DE_MAIO_DE_2021_6641d.pdf","Termo de Adesão ACT 04/05/2021- PGJ-ABIN")</f>
        <v>Termo de Adesão ACT 04/05/2021- PGJ-ABIN</v>
      </c>
      <c r="B188" s="91" t="s">
        <v>32</v>
      </c>
      <c r="C188" s="56" t="s">
        <v>1045</v>
      </c>
      <c r="D188" s="59" t="s">
        <v>1046</v>
      </c>
      <c r="E188" s="60" t="s">
        <v>1047</v>
      </c>
      <c r="F188" s="57">
        <v>44467</v>
      </c>
      <c r="G188" s="57">
        <v>46288</v>
      </c>
      <c r="H188" s="59" t="s">
        <v>25</v>
      </c>
      <c r="I188" s="59" t="s">
        <v>36</v>
      </c>
      <c r="J188" s="59" t="s">
        <v>123</v>
      </c>
      <c r="K188" s="59" t="s">
        <v>1048</v>
      </c>
      <c r="L188" s="59" t="s">
        <v>1049</v>
      </c>
      <c r="M188" s="59" t="s">
        <v>29</v>
      </c>
      <c r="N188" s="59" t="s">
        <v>29</v>
      </c>
      <c r="O188" s="87">
        <v>0</v>
      </c>
      <c r="P188" s="59" t="s">
        <v>29</v>
      </c>
      <c r="Q188" s="82">
        <v>0</v>
      </c>
      <c r="R188" s="59" t="s">
        <v>29</v>
      </c>
      <c r="S188" s="59" t="s">
        <v>807</v>
      </c>
      <c r="T188" s="59" t="s">
        <v>31</v>
      </c>
      <c r="U188" s="11"/>
      <c r="V188" s="11"/>
      <c r="W188" s="11"/>
    </row>
    <row r="189" spans="1:23" ht="60" customHeight="1" x14ac:dyDescent="0.25">
      <c r="A189" s="77" t="str">
        <f>HYPERLINK("https://www.mpam.mp.br/images/Cata_de_Adesão_nº_001-2021-MPAC_46bcf.pdf","Carta de Adesão nº 001/2021 PGJ-MPAC")</f>
        <v>Carta de Adesão nº 001/2021 PGJ-MPAC</v>
      </c>
      <c r="B189" s="91" t="s">
        <v>32</v>
      </c>
      <c r="C189" s="56" t="s">
        <v>1050</v>
      </c>
      <c r="D189" s="57" t="s">
        <v>1051</v>
      </c>
      <c r="E189" s="58" t="s">
        <v>1052</v>
      </c>
      <c r="F189" s="57">
        <v>44460</v>
      </c>
      <c r="G189" s="57" t="s">
        <v>810</v>
      </c>
      <c r="H189" s="59" t="s">
        <v>25</v>
      </c>
      <c r="I189" s="59" t="s">
        <v>947</v>
      </c>
      <c r="J189" s="59" t="s">
        <v>899</v>
      </c>
      <c r="K189" s="59" t="s">
        <v>1053</v>
      </c>
      <c r="L189" s="59" t="s">
        <v>1054</v>
      </c>
      <c r="M189" s="59" t="s">
        <v>29</v>
      </c>
      <c r="N189" s="59" t="s">
        <v>29</v>
      </c>
      <c r="O189" s="87">
        <v>0</v>
      </c>
      <c r="P189" s="59" t="s">
        <v>29</v>
      </c>
      <c r="Q189" s="82">
        <v>0</v>
      </c>
      <c r="R189" s="59" t="s">
        <v>29</v>
      </c>
      <c r="S189" s="59" t="s">
        <v>807</v>
      </c>
      <c r="T189" s="59" t="s">
        <v>31</v>
      </c>
      <c r="U189" s="11"/>
      <c r="V189" s="11"/>
      <c r="W189" s="11"/>
    </row>
    <row r="190" spans="1:23" ht="60" customHeight="1" x14ac:dyDescent="0.25">
      <c r="A190" s="77" t="str">
        <f>HYPERLINK("https://www.mpam.mp.br/images/Termo_de_Adesão_nº_021-2021-CNMP_46022.pdf","Termo de Adesao nº  21/05/21 CNMP")</f>
        <v>Termo de Adesao nº  21/05/21 CNMP</v>
      </c>
      <c r="B190" s="91" t="s">
        <v>32</v>
      </c>
      <c r="C190" s="56" t="s">
        <v>1055</v>
      </c>
      <c r="D190" s="57" t="s">
        <v>1056</v>
      </c>
      <c r="E190" s="58" t="s">
        <v>1057</v>
      </c>
      <c r="F190" s="57">
        <v>44448</v>
      </c>
      <c r="G190" s="57" t="s">
        <v>810</v>
      </c>
      <c r="H190" s="59" t="s">
        <v>25</v>
      </c>
      <c r="I190" s="59" t="s">
        <v>36</v>
      </c>
      <c r="J190" s="59" t="s">
        <v>123</v>
      </c>
      <c r="K190" s="59" t="s">
        <v>1058</v>
      </c>
      <c r="L190" s="59" t="s">
        <v>1059</v>
      </c>
      <c r="M190" s="59" t="s">
        <v>29</v>
      </c>
      <c r="N190" s="59" t="s">
        <v>29</v>
      </c>
      <c r="O190" s="87">
        <v>0</v>
      </c>
      <c r="P190" s="59" t="s">
        <v>29</v>
      </c>
      <c r="Q190" s="82">
        <v>0</v>
      </c>
      <c r="R190" s="59" t="s">
        <v>29</v>
      </c>
      <c r="S190" s="59" t="s">
        <v>807</v>
      </c>
      <c r="T190" s="59" t="s">
        <v>31</v>
      </c>
      <c r="U190" s="11"/>
      <c r="V190" s="11"/>
      <c r="W190" s="11"/>
    </row>
    <row r="191" spans="1:23" ht="60" customHeight="1" x14ac:dyDescent="0.25">
      <c r="A191" s="77" t="str">
        <f>HYPERLINK("https://www.mpam.mp.br/images/ACT_nº_022-2021-MP-PGJ_83991.pdf","TCT 22/2021 PGJ")</f>
        <v>TCT 22/2021 PGJ</v>
      </c>
      <c r="B191" s="91" t="s">
        <v>21</v>
      </c>
      <c r="C191" s="56" t="s">
        <v>1060</v>
      </c>
      <c r="D191" s="57" t="s">
        <v>1061</v>
      </c>
      <c r="E191" s="58" t="s">
        <v>1062</v>
      </c>
      <c r="F191" s="57">
        <v>44462</v>
      </c>
      <c r="G191" s="57">
        <v>46288</v>
      </c>
      <c r="H191" s="59" t="s">
        <v>25</v>
      </c>
      <c r="I191" s="59" t="s">
        <v>1063</v>
      </c>
      <c r="J191" s="59" t="s">
        <v>1064</v>
      </c>
      <c r="K191" s="59" t="s">
        <v>1065</v>
      </c>
      <c r="L191" s="59" t="s">
        <v>971</v>
      </c>
      <c r="M191" s="59" t="s">
        <v>29</v>
      </c>
      <c r="N191" s="59" t="s">
        <v>29</v>
      </c>
      <c r="O191" s="87">
        <v>0</v>
      </c>
      <c r="P191" s="59" t="s">
        <v>29</v>
      </c>
      <c r="Q191" s="82">
        <v>0</v>
      </c>
      <c r="R191" s="59" t="s">
        <v>29</v>
      </c>
      <c r="S191" s="59" t="s">
        <v>807</v>
      </c>
      <c r="T191" s="59" t="s">
        <v>31</v>
      </c>
      <c r="U191" s="11"/>
      <c r="V191" s="11"/>
      <c r="W191" s="11"/>
    </row>
    <row r="192" spans="1:23" ht="60" customHeight="1" x14ac:dyDescent="0.25">
      <c r="A192" s="77" t="str">
        <f>HYPERLINK("https://www.mpam.mp.br/images/ACT_nº_021-2021-MP-PGJ_aaa8e.pdf","TCT 21/2021 PGJ")</f>
        <v>TCT 21/2021 PGJ</v>
      </c>
      <c r="B192" s="91" t="s">
        <v>21</v>
      </c>
      <c r="C192" s="56" t="s">
        <v>1066</v>
      </c>
      <c r="D192" s="57" t="s">
        <v>1067</v>
      </c>
      <c r="E192" s="58" t="s">
        <v>1068</v>
      </c>
      <c r="F192" s="57">
        <v>44448</v>
      </c>
      <c r="G192" s="57">
        <v>46271</v>
      </c>
      <c r="H192" s="59" t="s">
        <v>25</v>
      </c>
      <c r="I192" s="59" t="s">
        <v>1069</v>
      </c>
      <c r="J192" s="59" t="s">
        <v>1070</v>
      </c>
      <c r="K192" s="59" t="s">
        <v>1071</v>
      </c>
      <c r="L192" s="59" t="s">
        <v>1049</v>
      </c>
      <c r="M192" s="59" t="s">
        <v>29</v>
      </c>
      <c r="N192" s="59" t="s">
        <v>29</v>
      </c>
      <c r="O192" s="87">
        <v>0</v>
      </c>
      <c r="P192" s="59" t="s">
        <v>29</v>
      </c>
      <c r="Q192" s="82">
        <v>0</v>
      </c>
      <c r="R192" s="59" t="s">
        <v>29</v>
      </c>
      <c r="S192" s="59" t="s">
        <v>807</v>
      </c>
      <c r="T192" s="59" t="s">
        <v>31</v>
      </c>
      <c r="U192" s="11"/>
      <c r="V192" s="11"/>
      <c r="W192" s="11"/>
    </row>
    <row r="193" spans="1:23" ht="60" customHeight="1" x14ac:dyDescent="0.25">
      <c r="A193" s="77" t="str">
        <f>HYPERLINK("https://www.mpam.mp.br/images/TCU_de_Espaço_nº_001-2021-MP-PGJ_dfb0f.pdf","TCU 1/2021 PGJ")</f>
        <v>TCU 1/2021 PGJ</v>
      </c>
      <c r="B193" s="91" t="s">
        <v>887</v>
      </c>
      <c r="C193" s="56" t="s">
        <v>1072</v>
      </c>
      <c r="D193" s="57" t="s">
        <v>1073</v>
      </c>
      <c r="E193" s="58" t="s">
        <v>1074</v>
      </c>
      <c r="F193" s="57">
        <v>44424</v>
      </c>
      <c r="G193" s="57">
        <v>46250</v>
      </c>
      <c r="H193" s="59" t="s">
        <v>25</v>
      </c>
      <c r="I193" s="59" t="s">
        <v>1075</v>
      </c>
      <c r="J193" s="59" t="s">
        <v>1076</v>
      </c>
      <c r="K193" s="59" t="s">
        <v>1077</v>
      </c>
      <c r="L193" s="59" t="s">
        <v>1078</v>
      </c>
      <c r="M193" s="59" t="s">
        <v>29</v>
      </c>
      <c r="N193" s="59" t="s">
        <v>29</v>
      </c>
      <c r="O193" s="87">
        <v>0</v>
      </c>
      <c r="P193" s="59" t="s">
        <v>29</v>
      </c>
      <c r="Q193" s="82">
        <v>0</v>
      </c>
      <c r="R193" s="59" t="s">
        <v>29</v>
      </c>
      <c r="S193" s="59" t="s">
        <v>807</v>
      </c>
      <c r="T193" s="59" t="s">
        <v>31</v>
      </c>
      <c r="U193" s="11"/>
      <c r="V193" s="11"/>
      <c r="W193" s="11"/>
    </row>
    <row r="194" spans="1:23" ht="60" customHeight="1" x14ac:dyDescent="0.25">
      <c r="A194" s="77" t="str">
        <f>HYPERLINK("https://www.mpam.mp.br/images/ACT_Nº_014-2021-MP-PGJ_1099b.pdf","TCT 14/2021 PGJ")</f>
        <v>TCT 14/2021 PGJ</v>
      </c>
      <c r="B194" s="91" t="s">
        <v>21</v>
      </c>
      <c r="C194" s="56" t="s">
        <v>1079</v>
      </c>
      <c r="D194" s="57" t="s">
        <v>1080</v>
      </c>
      <c r="E194" s="58" t="s">
        <v>1081</v>
      </c>
      <c r="F194" s="57">
        <v>44421</v>
      </c>
      <c r="G194" s="57">
        <v>46240</v>
      </c>
      <c r="H194" s="59" t="s">
        <v>25</v>
      </c>
      <c r="I194" s="59" t="s">
        <v>1082</v>
      </c>
      <c r="J194" s="59" t="s">
        <v>350</v>
      </c>
      <c r="K194" s="59" t="s">
        <v>1083</v>
      </c>
      <c r="L194" s="59" t="s">
        <v>1049</v>
      </c>
      <c r="M194" s="59" t="s">
        <v>29</v>
      </c>
      <c r="N194" s="59" t="s">
        <v>29</v>
      </c>
      <c r="O194" s="87">
        <v>0</v>
      </c>
      <c r="P194" s="59" t="s">
        <v>29</v>
      </c>
      <c r="Q194" s="82">
        <v>0</v>
      </c>
      <c r="R194" s="59" t="s">
        <v>29</v>
      </c>
      <c r="S194" s="59" t="s">
        <v>807</v>
      </c>
      <c r="T194" s="59" t="s">
        <v>31</v>
      </c>
      <c r="U194" s="11"/>
      <c r="V194" s="11"/>
      <c r="W194" s="11"/>
    </row>
    <row r="195" spans="1:23" ht="60" customHeight="1" x14ac:dyDescent="0.25">
      <c r="A195" s="77" t="str">
        <f>HYPERLINK("https://www.mpam.mp.br/images/ACT_Nº_021-2021-MP-PGJ_7cc0b.pdf","TCT 21/2021 PGJ")</f>
        <v>TCT 21/2021 PGJ</v>
      </c>
      <c r="B195" s="91" t="s">
        <v>21</v>
      </c>
      <c r="C195" s="56" t="s">
        <v>1084</v>
      </c>
      <c r="D195" s="57" t="s">
        <v>1085</v>
      </c>
      <c r="E195" s="58" t="s">
        <v>1068</v>
      </c>
      <c r="F195" s="57">
        <v>44417</v>
      </c>
      <c r="G195" s="57">
        <v>46239</v>
      </c>
      <c r="H195" s="59" t="s">
        <v>25</v>
      </c>
      <c r="I195" s="59" t="s">
        <v>1086</v>
      </c>
      <c r="J195" s="59" t="s">
        <v>1070</v>
      </c>
      <c r="K195" s="59" t="s">
        <v>1071</v>
      </c>
      <c r="L195" s="59" t="s">
        <v>1049</v>
      </c>
      <c r="M195" s="59" t="s">
        <v>29</v>
      </c>
      <c r="N195" s="59" t="s">
        <v>29</v>
      </c>
      <c r="O195" s="87">
        <v>0</v>
      </c>
      <c r="P195" s="59" t="s">
        <v>29</v>
      </c>
      <c r="Q195" s="82">
        <v>0</v>
      </c>
      <c r="R195" s="59" t="s">
        <v>29</v>
      </c>
      <c r="S195" s="59" t="s">
        <v>807</v>
      </c>
      <c r="T195" s="59" t="s">
        <v>31</v>
      </c>
      <c r="U195" s="11"/>
      <c r="V195" s="11"/>
      <c r="W195" s="11"/>
    </row>
    <row r="196" spans="1:23" ht="60" customHeight="1" x14ac:dyDescent="0.25">
      <c r="A196" s="77" t="str">
        <f>HYPERLINK("https://www.mpam.mp.br/images/ACT_nº_015-2021-MP-PGJ-LA-SALLE_f55e2.pdf","TCT 15/2021 PGJ")</f>
        <v>TCT 15/2021 PGJ</v>
      </c>
      <c r="B196" s="91" t="s">
        <v>21</v>
      </c>
      <c r="C196" s="56" t="s">
        <v>1087</v>
      </c>
      <c r="D196" s="57" t="s">
        <v>1088</v>
      </c>
      <c r="E196" s="58" t="s">
        <v>1089</v>
      </c>
      <c r="F196" s="57">
        <v>44417</v>
      </c>
      <c r="G196" s="57">
        <v>46239</v>
      </c>
      <c r="H196" s="59" t="s">
        <v>25</v>
      </c>
      <c r="I196" s="59" t="s">
        <v>1090</v>
      </c>
      <c r="J196" s="59" t="s">
        <v>1091</v>
      </c>
      <c r="K196" s="59" t="s">
        <v>1092</v>
      </c>
      <c r="L196" s="59" t="s">
        <v>1049</v>
      </c>
      <c r="M196" s="59" t="s">
        <v>29</v>
      </c>
      <c r="N196" s="59" t="s">
        <v>29</v>
      </c>
      <c r="O196" s="87">
        <v>0</v>
      </c>
      <c r="P196" s="59" t="s">
        <v>29</v>
      </c>
      <c r="Q196" s="82">
        <v>0</v>
      </c>
      <c r="R196" s="59" t="s">
        <v>29</v>
      </c>
      <c r="S196" s="59" t="s">
        <v>807</v>
      </c>
      <c r="T196" s="59" t="s">
        <v>31</v>
      </c>
      <c r="U196" s="11"/>
      <c r="V196" s="11"/>
      <c r="W196" s="11"/>
    </row>
    <row r="197" spans="1:23" ht="60" customHeight="1" x14ac:dyDescent="0.25">
      <c r="A197" s="77" t="str">
        <f>HYPERLINK("https://www.mpam.mp.br/images/ACT_-Rede_de_Controle_da_Gestao_Publica_no_AM_7b457.pdf","Adesão a Rede de Controle e Gestão Pública")</f>
        <v>Adesão a Rede de Controle e Gestão Pública</v>
      </c>
      <c r="B197" s="91" t="s">
        <v>32</v>
      </c>
      <c r="C197" s="56" t="s">
        <v>1093</v>
      </c>
      <c r="D197" s="57" t="s">
        <v>1094</v>
      </c>
      <c r="E197" s="58" t="s">
        <v>1095</v>
      </c>
      <c r="F197" s="57">
        <v>44426</v>
      </c>
      <c r="G197" s="57">
        <v>46250</v>
      </c>
      <c r="H197" s="59" t="s">
        <v>25</v>
      </c>
      <c r="I197" s="59" t="s">
        <v>1096</v>
      </c>
      <c r="J197" s="59" t="s">
        <v>1097</v>
      </c>
      <c r="K197" s="59" t="s">
        <v>1098</v>
      </c>
      <c r="L197" s="59" t="s">
        <v>1049</v>
      </c>
      <c r="M197" s="59" t="s">
        <v>29</v>
      </c>
      <c r="N197" s="59" t="s">
        <v>29</v>
      </c>
      <c r="O197" s="87">
        <v>0</v>
      </c>
      <c r="P197" s="59" t="s">
        <v>29</v>
      </c>
      <c r="Q197" s="82">
        <v>0</v>
      </c>
      <c r="R197" s="59" t="s">
        <v>29</v>
      </c>
      <c r="S197" s="59" t="s">
        <v>807</v>
      </c>
      <c r="T197" s="59" t="s">
        <v>31</v>
      </c>
      <c r="U197" s="11"/>
      <c r="V197" s="11"/>
    </row>
    <row r="198" spans="1:23" ht="60" customHeight="1" x14ac:dyDescent="0.25">
      <c r="A198" s="77" t="str">
        <f>HYPERLINK("https://www.mpam.mp.br/images/ACT_Nº_013-2021-MP-PGJ_662ae.pdf","TCT 13/2021 PGJ")</f>
        <v>TCT 13/2021 PGJ</v>
      </c>
      <c r="B198" s="91" t="s">
        <v>21</v>
      </c>
      <c r="C198" s="56" t="s">
        <v>1099</v>
      </c>
      <c r="D198" s="57" t="s">
        <v>1100</v>
      </c>
      <c r="E198" s="58" t="s">
        <v>1101</v>
      </c>
      <c r="F198" s="57">
        <v>44410</v>
      </c>
      <c r="G198" s="57">
        <v>46230</v>
      </c>
      <c r="H198" s="59" t="s">
        <v>25</v>
      </c>
      <c r="I198" s="59" t="s">
        <v>1102</v>
      </c>
      <c r="J198" s="59" t="s">
        <v>933</v>
      </c>
      <c r="K198" s="59" t="s">
        <v>1103</v>
      </c>
      <c r="L198" s="59" t="s">
        <v>1049</v>
      </c>
      <c r="M198" s="59" t="s">
        <v>29</v>
      </c>
      <c r="N198" s="59" t="s">
        <v>29</v>
      </c>
      <c r="O198" s="87">
        <v>0</v>
      </c>
      <c r="P198" s="59" t="s">
        <v>29</v>
      </c>
      <c r="Q198" s="82">
        <v>0</v>
      </c>
      <c r="R198" s="59" t="s">
        <v>29</v>
      </c>
      <c r="S198" s="59" t="s">
        <v>807</v>
      </c>
      <c r="T198" s="59" t="s">
        <v>31</v>
      </c>
      <c r="U198" s="11"/>
      <c r="V198" s="11"/>
    </row>
    <row r="199" spans="1:23" ht="60" customHeight="1" x14ac:dyDescent="0.25">
      <c r="A199" s="77" t="str">
        <f>HYPERLINK("https://www.mpam.mp.br/images/ACT_Nº_18-2021-MP-PGJ_48c3c.pdf","TCT 18/2021 PGJ")</f>
        <v>TCT 18/2021 PGJ</v>
      </c>
      <c r="B199" s="91" t="s">
        <v>21</v>
      </c>
      <c r="C199" s="56" t="s">
        <v>1104</v>
      </c>
      <c r="D199" s="57" t="s">
        <v>1105</v>
      </c>
      <c r="E199" s="58" t="s">
        <v>1106</v>
      </c>
      <c r="F199" s="57">
        <v>44404</v>
      </c>
      <c r="G199" s="57">
        <v>46229</v>
      </c>
      <c r="H199" s="59" t="s">
        <v>25</v>
      </c>
      <c r="I199" s="59" t="s">
        <v>1107</v>
      </c>
      <c r="J199" s="59" t="s">
        <v>1108</v>
      </c>
      <c r="K199" s="59" t="s">
        <v>1109</v>
      </c>
      <c r="L199" s="59" t="s">
        <v>1049</v>
      </c>
      <c r="M199" s="59" t="s">
        <v>29</v>
      </c>
      <c r="N199" s="59" t="s">
        <v>29</v>
      </c>
      <c r="O199" s="99">
        <v>0</v>
      </c>
      <c r="P199" s="59" t="s">
        <v>29</v>
      </c>
      <c r="Q199" s="82">
        <v>0</v>
      </c>
      <c r="R199" s="59" t="s">
        <v>29</v>
      </c>
      <c r="S199" s="59" t="s">
        <v>807</v>
      </c>
      <c r="T199" s="77" t="s">
        <v>31</v>
      </c>
      <c r="U199" s="11"/>
      <c r="V199" s="11"/>
    </row>
    <row r="200" spans="1:23" ht="60" customHeight="1" x14ac:dyDescent="0.25">
      <c r="A200" s="77" t="str">
        <f>HYPERLINK("https://www.mpam.mp.br/images/ACT_nº_020-2021-MP-PGJ_81f1c.pdf","TCT 20/2021 PGJ")</f>
        <v>TCT 20/2021 PGJ</v>
      </c>
      <c r="B200" s="91" t="s">
        <v>21</v>
      </c>
      <c r="C200" s="56" t="s">
        <v>1110</v>
      </c>
      <c r="D200" s="57" t="s">
        <v>1111</v>
      </c>
      <c r="E200" s="58" t="s">
        <v>1112</v>
      </c>
      <c r="F200" s="57">
        <v>44399</v>
      </c>
      <c r="G200" s="57">
        <v>46225</v>
      </c>
      <c r="H200" s="59" t="s">
        <v>25</v>
      </c>
      <c r="I200" s="59" t="s">
        <v>1113</v>
      </c>
      <c r="J200" s="59" t="s">
        <v>1114</v>
      </c>
      <c r="K200" s="59" t="s">
        <v>1037</v>
      </c>
      <c r="L200" s="59" t="s">
        <v>1049</v>
      </c>
      <c r="M200" s="59" t="s">
        <v>29</v>
      </c>
      <c r="N200" s="59" t="s">
        <v>29</v>
      </c>
      <c r="O200" s="87">
        <v>0</v>
      </c>
      <c r="P200" s="59" t="s">
        <v>29</v>
      </c>
      <c r="Q200" s="82">
        <v>0</v>
      </c>
      <c r="R200" s="59" t="s">
        <v>29</v>
      </c>
      <c r="S200" s="59" t="s">
        <v>807</v>
      </c>
      <c r="T200" s="59" t="s">
        <v>31</v>
      </c>
      <c r="U200" s="11"/>
      <c r="V200" s="11"/>
    </row>
    <row r="201" spans="1:23" ht="60" customHeight="1" x14ac:dyDescent="0.25">
      <c r="A201" s="77" t="str">
        <f>HYPERLINK("https://www.mpam.mp.br/images/ACT_Nº_016-2021-MP-PGJ_b6d07.pdf","TCT 16/2021 PGJ")</f>
        <v>TCT 16/2021 PGJ</v>
      </c>
      <c r="B201" s="91" t="s">
        <v>21</v>
      </c>
      <c r="C201" s="56" t="s">
        <v>1115</v>
      </c>
      <c r="D201" s="57" t="s">
        <v>1116</v>
      </c>
      <c r="E201" s="58" t="s">
        <v>1117</v>
      </c>
      <c r="F201" s="57">
        <v>44397</v>
      </c>
      <c r="G201" s="59">
        <v>46222</v>
      </c>
      <c r="H201" s="59" t="s">
        <v>25</v>
      </c>
      <c r="I201" s="59" t="s">
        <v>1118</v>
      </c>
      <c r="J201" s="59" t="s">
        <v>1119</v>
      </c>
      <c r="K201" s="59" t="s">
        <v>1120</v>
      </c>
      <c r="L201" s="59" t="s">
        <v>1049</v>
      </c>
      <c r="M201" s="59" t="s">
        <v>29</v>
      </c>
      <c r="N201" s="59" t="s">
        <v>29</v>
      </c>
      <c r="O201" s="87">
        <v>0</v>
      </c>
      <c r="P201" s="59" t="s">
        <v>29</v>
      </c>
      <c r="Q201" s="82">
        <v>0</v>
      </c>
      <c r="R201" s="59" t="s">
        <v>29</v>
      </c>
      <c r="S201" s="59" t="s">
        <v>807</v>
      </c>
      <c r="T201" s="59" t="s">
        <v>31</v>
      </c>
      <c r="U201" s="11"/>
      <c r="V201" s="11"/>
    </row>
    <row r="202" spans="1:23" ht="60" customHeight="1" x14ac:dyDescent="0.25">
      <c r="A202" s="77" t="str">
        <f>HYPERLINK("https://www.mpam.mp.br/images/ACT_Nº_012-2021-MP-PGJ_f9f3f.pdf","TCT 12/2021 PGJ")</f>
        <v>TCT 12/2021 PGJ</v>
      </c>
      <c r="B202" s="91" t="s">
        <v>21</v>
      </c>
      <c r="C202" s="56" t="s">
        <v>1121</v>
      </c>
      <c r="D202" s="57" t="s">
        <v>1122</v>
      </c>
      <c r="E202" s="58" t="s">
        <v>1123</v>
      </c>
      <c r="F202" s="57">
        <v>44389</v>
      </c>
      <c r="G202" s="59">
        <v>46211</v>
      </c>
      <c r="H202" s="59" t="s">
        <v>25</v>
      </c>
      <c r="I202" s="59" t="s">
        <v>1124</v>
      </c>
      <c r="J202" s="59" t="s">
        <v>1125</v>
      </c>
      <c r="K202" s="59" t="s">
        <v>1126</v>
      </c>
      <c r="L202" s="59" t="s">
        <v>1049</v>
      </c>
      <c r="M202" s="59" t="s">
        <v>29</v>
      </c>
      <c r="N202" s="59" t="s">
        <v>29</v>
      </c>
      <c r="O202" s="87">
        <v>0</v>
      </c>
      <c r="P202" s="59" t="s">
        <v>29</v>
      </c>
      <c r="Q202" s="82">
        <v>0</v>
      </c>
      <c r="R202" s="59" t="s">
        <v>29</v>
      </c>
      <c r="S202" s="59" t="s">
        <v>807</v>
      </c>
      <c r="T202" s="59" t="s">
        <v>31</v>
      </c>
    </row>
    <row r="203" spans="1:23" ht="60" customHeight="1" x14ac:dyDescent="0.25">
      <c r="A203" s="77" t="str">
        <f>HYPERLINK("https://www.mpam.mp.br/images/ACT_Nº_011-2021-MP-PGJ_1cebb.pdf","TCT 11/2021 PGJ")</f>
        <v>TCT 11/2021 PGJ</v>
      </c>
      <c r="B203" s="91" t="s">
        <v>21</v>
      </c>
      <c r="C203" s="56" t="s">
        <v>1127</v>
      </c>
      <c r="D203" s="57" t="s">
        <v>1128</v>
      </c>
      <c r="E203" s="58" t="s">
        <v>1129</v>
      </c>
      <c r="F203" s="57">
        <v>44378</v>
      </c>
      <c r="G203" s="57">
        <v>48030</v>
      </c>
      <c r="H203" s="59" t="s">
        <v>25</v>
      </c>
      <c r="I203" s="59" t="s">
        <v>1130</v>
      </c>
      <c r="J203" s="59" t="s">
        <v>1131</v>
      </c>
      <c r="K203" s="59" t="s">
        <v>1132</v>
      </c>
      <c r="L203" s="59" t="s">
        <v>1049</v>
      </c>
      <c r="M203" s="59" t="s">
        <v>29</v>
      </c>
      <c r="N203" s="59" t="s">
        <v>29</v>
      </c>
      <c r="O203" s="87">
        <v>0</v>
      </c>
      <c r="P203" s="59" t="s">
        <v>29</v>
      </c>
      <c r="Q203" s="82">
        <v>0</v>
      </c>
      <c r="R203" s="59" t="s">
        <v>29</v>
      </c>
      <c r="S203" s="59" t="s">
        <v>807</v>
      </c>
      <c r="T203" s="59" t="str">
        <f>HYPERLINK("https://www.mpam.mp.br/images-j5/DCCON/2026/TERMOS%20ADITIVOS%20-%20CONVENIOS/1o%20TA%20ao%20ACT%20011-2021.pdf","1º Termo Aditivo")</f>
        <v>1º Termo Aditivo</v>
      </c>
    </row>
    <row r="204" spans="1:23" ht="60" customHeight="1" x14ac:dyDescent="0.25">
      <c r="A204" s="77" t="str">
        <f>HYPERLINK("https://www.mpam.mp.br/images/ACT_Nº_010-2021-MP-PGJ_57a2a.pdf","TCT 10/2021 PGJ")</f>
        <v>TCT 10/2021 PGJ</v>
      </c>
      <c r="B204" s="91" t="s">
        <v>21</v>
      </c>
      <c r="C204" s="56" t="s">
        <v>1133</v>
      </c>
      <c r="D204" s="57" t="s">
        <v>1134</v>
      </c>
      <c r="E204" s="58" t="s">
        <v>1135</v>
      </c>
      <c r="F204" s="57">
        <v>44372</v>
      </c>
      <c r="G204" s="57">
        <v>48023</v>
      </c>
      <c r="H204" s="59" t="s">
        <v>25</v>
      </c>
      <c r="I204" s="59" t="s">
        <v>201</v>
      </c>
      <c r="J204" s="59" t="s">
        <v>202</v>
      </c>
      <c r="K204" s="59" t="s">
        <v>1136</v>
      </c>
      <c r="L204" s="59" t="s">
        <v>1049</v>
      </c>
      <c r="M204" s="59" t="s">
        <v>29</v>
      </c>
      <c r="N204" s="59" t="s">
        <v>29</v>
      </c>
      <c r="O204" s="87">
        <v>0</v>
      </c>
      <c r="P204" s="59" t="s">
        <v>29</v>
      </c>
      <c r="Q204" s="82">
        <v>0</v>
      </c>
      <c r="R204" s="59" t="s">
        <v>29</v>
      </c>
      <c r="S204" s="59" t="s">
        <v>807</v>
      </c>
      <c r="T204" s="59" t="str">
        <f>HYPERLINK("https://www.mpam.mp.br/images-j5/DCCON/2026/TERMOS%20ADITIVOS%20-%20CONVENIOS/1o%20TA%20AO%20ACT%20010-2021.pdf","1º Termo Aditivo")</f>
        <v>1º Termo Aditivo</v>
      </c>
    </row>
    <row r="205" spans="1:23" ht="60" customHeight="1" x14ac:dyDescent="0.25">
      <c r="A205" s="77" t="str">
        <f>HYPERLINK("https://www.mpam.mp.br/images/ACT_Nº_09-2021-MP-PGJ_aa460.pdf","TCT 9/2021 PGJ")</f>
        <v>TCT 9/2021 PGJ</v>
      </c>
      <c r="B205" s="91" t="s">
        <v>21</v>
      </c>
      <c r="C205" s="56" t="s">
        <v>1137</v>
      </c>
      <c r="D205" s="57" t="s">
        <v>1138</v>
      </c>
      <c r="E205" s="58" t="s">
        <v>1139</v>
      </c>
      <c r="F205" s="57">
        <v>44357</v>
      </c>
      <c r="G205" s="57">
        <v>46182</v>
      </c>
      <c r="H205" s="59" t="s">
        <v>636</v>
      </c>
      <c r="I205" s="59" t="s">
        <v>749</v>
      </c>
      <c r="J205" s="59" t="s">
        <v>750</v>
      </c>
      <c r="K205" s="59" t="s">
        <v>1140</v>
      </c>
      <c r="L205" s="59" t="s">
        <v>1049</v>
      </c>
      <c r="M205" s="59" t="s">
        <v>29</v>
      </c>
      <c r="N205" s="59" t="s">
        <v>29</v>
      </c>
      <c r="O205" s="87">
        <v>0</v>
      </c>
      <c r="P205" s="59" t="s">
        <v>29</v>
      </c>
      <c r="Q205" s="82">
        <v>0</v>
      </c>
      <c r="R205" s="59" t="s">
        <v>29</v>
      </c>
      <c r="S205" s="59" t="s">
        <v>807</v>
      </c>
      <c r="T205" s="59" t="s">
        <v>31</v>
      </c>
    </row>
    <row r="206" spans="1:23" ht="60" customHeight="1" x14ac:dyDescent="0.25">
      <c r="A206" s="77" t="str">
        <f>HYPERLINK("https://www.mpam.mp.br/images/ACT_Nº_008-2021-MP-PGJ_1ae84.pdf","TCT 8/2021 PGJ")</f>
        <v>TCT 8/2021 PGJ</v>
      </c>
      <c r="B206" s="91" t="s">
        <v>21</v>
      </c>
      <c r="C206" s="56" t="s">
        <v>1141</v>
      </c>
      <c r="D206" s="57" t="s">
        <v>1142</v>
      </c>
      <c r="E206" s="58" t="s">
        <v>1143</v>
      </c>
      <c r="F206" s="57">
        <v>44363</v>
      </c>
      <c r="G206" s="57">
        <v>46187</v>
      </c>
      <c r="H206" s="59" t="s">
        <v>636</v>
      </c>
      <c r="I206" s="59" t="s">
        <v>1144</v>
      </c>
      <c r="J206" s="59" t="s">
        <v>1145</v>
      </c>
      <c r="K206" s="59" t="s">
        <v>1146</v>
      </c>
      <c r="L206" s="59" t="s">
        <v>1049</v>
      </c>
      <c r="M206" s="59" t="s">
        <v>29</v>
      </c>
      <c r="N206" s="59" t="s">
        <v>29</v>
      </c>
      <c r="O206" s="87">
        <v>0</v>
      </c>
      <c r="P206" s="59" t="s">
        <v>29</v>
      </c>
      <c r="Q206" s="82">
        <v>0</v>
      </c>
      <c r="R206" s="59" t="s">
        <v>29</v>
      </c>
      <c r="S206" s="59" t="s">
        <v>807</v>
      </c>
      <c r="T206" s="59" t="s">
        <v>31</v>
      </c>
    </row>
    <row r="207" spans="1:23" ht="60" customHeight="1" x14ac:dyDescent="0.25">
      <c r="A207" s="77" t="str">
        <f>HYPERLINK("https://www.mpam.mp.br/images/ACT_Nº_007-2021-MP-PGJ_8c7c5.pdf","TCT 7/2021 PGJ")</f>
        <v>TCT 7/2021 PGJ</v>
      </c>
      <c r="B207" s="91" t="s">
        <v>21</v>
      </c>
      <c r="C207" s="56" t="s">
        <v>1147</v>
      </c>
      <c r="D207" s="57" t="s">
        <v>1148</v>
      </c>
      <c r="E207" s="58" t="s">
        <v>1149</v>
      </c>
      <c r="F207" s="57">
        <v>44356</v>
      </c>
      <c r="G207" s="57">
        <v>46182</v>
      </c>
      <c r="H207" s="59" t="s">
        <v>636</v>
      </c>
      <c r="I207" s="59" t="s">
        <v>1150</v>
      </c>
      <c r="J207" s="59" t="s">
        <v>660</v>
      </c>
      <c r="K207" s="59" t="s">
        <v>1151</v>
      </c>
      <c r="L207" s="59" t="s">
        <v>1049</v>
      </c>
      <c r="M207" s="59" t="s">
        <v>29</v>
      </c>
      <c r="N207" s="59" t="s">
        <v>29</v>
      </c>
      <c r="O207" s="87">
        <v>0</v>
      </c>
      <c r="P207" s="59" t="s">
        <v>29</v>
      </c>
      <c r="Q207" s="82">
        <v>0</v>
      </c>
      <c r="R207" s="59" t="s">
        <v>29</v>
      </c>
      <c r="S207" s="59" t="s">
        <v>807</v>
      </c>
      <c r="T207" s="59" t="s">
        <v>31</v>
      </c>
    </row>
    <row r="208" spans="1:23" ht="60" customHeight="1" x14ac:dyDescent="0.25">
      <c r="A208" s="77" t="str">
        <f>HYPERLINK("https://www.mpam.mp.br/images/ACT_Nº_005-2021-MP-PGJ_87952.pdf","TCT 5/2021 PGJ")</f>
        <v>TCT 5/2021 PGJ</v>
      </c>
      <c r="B208" s="91" t="s">
        <v>21</v>
      </c>
      <c r="C208" s="56" t="s">
        <v>1152</v>
      </c>
      <c r="D208" s="57" t="s">
        <v>1153</v>
      </c>
      <c r="E208" s="58" t="s">
        <v>1154</v>
      </c>
      <c r="F208" s="57">
        <v>44354</v>
      </c>
      <c r="G208" s="57">
        <v>46175</v>
      </c>
      <c r="H208" s="59" t="s">
        <v>636</v>
      </c>
      <c r="I208" s="59" t="s">
        <v>1155</v>
      </c>
      <c r="J208" s="59" t="s">
        <v>1156</v>
      </c>
      <c r="K208" s="59" t="s">
        <v>1157</v>
      </c>
      <c r="L208" s="59" t="s">
        <v>1049</v>
      </c>
      <c r="M208" s="59" t="s">
        <v>29</v>
      </c>
      <c r="N208" s="59" t="s">
        <v>29</v>
      </c>
      <c r="O208" s="87">
        <v>0</v>
      </c>
      <c r="P208" s="59" t="s">
        <v>29</v>
      </c>
      <c r="Q208" s="82">
        <v>0</v>
      </c>
      <c r="R208" s="59" t="s">
        <v>29</v>
      </c>
      <c r="S208" s="59" t="s">
        <v>807</v>
      </c>
      <c r="T208" s="59" t="s">
        <v>31</v>
      </c>
    </row>
    <row r="209" spans="1:20" ht="60" customHeight="1" x14ac:dyDescent="0.25">
      <c r="A209" s="77" t="str">
        <f>HYPERLINK("https://www.mpam.mp.br/images/ACT_Nº_004-2021-MP-PGJ_62209.pdf","TCT 4/2021 PGJ")</f>
        <v>TCT 4/2021 PGJ</v>
      </c>
      <c r="B209" s="91" t="s">
        <v>21</v>
      </c>
      <c r="C209" s="56" t="s">
        <v>1158</v>
      </c>
      <c r="D209" s="57" t="s">
        <v>1153</v>
      </c>
      <c r="E209" s="58" t="s">
        <v>1154</v>
      </c>
      <c r="F209" s="57">
        <v>44354</v>
      </c>
      <c r="G209" s="57">
        <v>46174</v>
      </c>
      <c r="H209" s="59" t="s">
        <v>636</v>
      </c>
      <c r="I209" s="59" t="s">
        <v>1159</v>
      </c>
      <c r="J209" s="59" t="s">
        <v>1160</v>
      </c>
      <c r="K209" s="59" t="s">
        <v>1161</v>
      </c>
      <c r="L209" s="59" t="s">
        <v>1049</v>
      </c>
      <c r="M209" s="59" t="s">
        <v>29</v>
      </c>
      <c r="N209" s="59" t="s">
        <v>29</v>
      </c>
      <c r="O209" s="87">
        <v>0</v>
      </c>
      <c r="P209" s="59" t="s">
        <v>29</v>
      </c>
      <c r="Q209" s="82">
        <v>0</v>
      </c>
      <c r="R209" s="59" t="s">
        <v>29</v>
      </c>
      <c r="S209" s="59" t="s">
        <v>807</v>
      </c>
      <c r="T209" s="59" t="s">
        <v>31</v>
      </c>
    </row>
    <row r="210" spans="1:20" ht="60" customHeight="1" x14ac:dyDescent="0.25">
      <c r="A210" s="77" t="str">
        <f>HYPERLINK("https://www.mpam.mp.br/images/Termo_de_Convênio_nº_001-2021-MP-PGJ_cf320.pdf","TC 1/2021 PGJ")</f>
        <v>TC 1/2021 PGJ</v>
      </c>
      <c r="B210" s="91" t="s">
        <v>21</v>
      </c>
      <c r="C210" s="56" t="s">
        <v>1162</v>
      </c>
      <c r="D210" s="57" t="s">
        <v>1163</v>
      </c>
      <c r="E210" s="58" t="s">
        <v>1164</v>
      </c>
      <c r="F210" s="57">
        <v>44336</v>
      </c>
      <c r="G210" s="57">
        <v>46161</v>
      </c>
      <c r="H210" s="59" t="s">
        <v>636</v>
      </c>
      <c r="I210" s="59" t="s">
        <v>56</v>
      </c>
      <c r="J210" s="59" t="s">
        <v>57</v>
      </c>
      <c r="K210" s="59" t="s">
        <v>1165</v>
      </c>
      <c r="L210" s="59" t="s">
        <v>1166</v>
      </c>
      <c r="M210" s="59" t="s">
        <v>29</v>
      </c>
      <c r="N210" s="59" t="s">
        <v>29</v>
      </c>
      <c r="O210" s="87">
        <v>0</v>
      </c>
      <c r="P210" s="59" t="s">
        <v>29</v>
      </c>
      <c r="Q210" s="82">
        <v>0</v>
      </c>
      <c r="R210" s="59" t="s">
        <v>29</v>
      </c>
      <c r="S210" s="59" t="s">
        <v>807</v>
      </c>
      <c r="T210" s="59" t="s">
        <v>31</v>
      </c>
    </row>
    <row r="211" spans="1:20" ht="60" customHeight="1" x14ac:dyDescent="0.25">
      <c r="A211" s="77" t="str">
        <f>HYPERLINK("https://www.mpam.mp.br/images/Termo_de_Adesao___Rede_de_Ouvidorias_c1964.pdf","T.A REDE NACIONAL DE OUVIDORIAS")</f>
        <v>T.A REDE NACIONAL DE OUVIDORIAS</v>
      </c>
      <c r="B211" s="91" t="s">
        <v>32</v>
      </c>
      <c r="C211" s="56" t="s">
        <v>1167</v>
      </c>
      <c r="D211" s="57" t="s">
        <v>1168</v>
      </c>
      <c r="E211" s="58" t="s">
        <v>1169</v>
      </c>
      <c r="F211" s="57">
        <v>44358</v>
      </c>
      <c r="G211" s="57" t="s">
        <v>810</v>
      </c>
      <c r="H211" s="59" t="s">
        <v>25</v>
      </c>
      <c r="I211" s="59" t="s">
        <v>1170</v>
      </c>
      <c r="J211" s="59"/>
      <c r="K211" s="59"/>
      <c r="L211" s="59" t="s">
        <v>1171</v>
      </c>
      <c r="M211" s="59" t="s">
        <v>29</v>
      </c>
      <c r="N211" s="59" t="s">
        <v>29</v>
      </c>
      <c r="O211" s="87">
        <v>0</v>
      </c>
      <c r="P211" s="59" t="s">
        <v>29</v>
      </c>
      <c r="Q211" s="82">
        <v>0</v>
      </c>
      <c r="R211" s="59" t="s">
        <v>29</v>
      </c>
      <c r="S211" s="59" t="s">
        <v>807</v>
      </c>
      <c r="T211" s="59" t="s">
        <v>31</v>
      </c>
    </row>
    <row r="212" spans="1:20" ht="60" customHeight="1" x14ac:dyDescent="0.25">
      <c r="A212" s="77" t="str">
        <f>HYPERLINK("https://www.mpam.mp.br/images/Termo_de_Adesão_ao_Acordo_de_Resultados_d25e5.pdf","T.A ACORDO DE RESULTADOS")</f>
        <v>T.A ACORDO DE RESULTADOS</v>
      </c>
      <c r="B212" s="91" t="s">
        <v>32</v>
      </c>
      <c r="C212" s="56" t="s">
        <v>1172</v>
      </c>
      <c r="D212" s="57" t="s">
        <v>1163</v>
      </c>
      <c r="E212" s="58" t="s">
        <v>1173</v>
      </c>
      <c r="F212" s="57">
        <v>44336</v>
      </c>
      <c r="G212" s="57">
        <v>46147</v>
      </c>
      <c r="H212" s="59" t="s">
        <v>636</v>
      </c>
      <c r="I212" s="59" t="s">
        <v>1174</v>
      </c>
      <c r="J212" s="59" t="s">
        <v>123</v>
      </c>
      <c r="K212" s="59" t="s">
        <v>1175</v>
      </c>
      <c r="L212" s="59" t="s">
        <v>1176</v>
      </c>
      <c r="M212" s="59" t="s">
        <v>29</v>
      </c>
      <c r="N212" s="59" t="s">
        <v>29</v>
      </c>
      <c r="O212" s="87">
        <v>0</v>
      </c>
      <c r="P212" s="59" t="s">
        <v>29</v>
      </c>
      <c r="Q212" s="82">
        <v>0</v>
      </c>
      <c r="R212" s="59" t="s">
        <v>29</v>
      </c>
      <c r="S212" s="59" t="s">
        <v>807</v>
      </c>
      <c r="T212" s="59" t="s">
        <v>31</v>
      </c>
    </row>
    <row r="213" spans="1:20" ht="60" customHeight="1" x14ac:dyDescent="0.25">
      <c r="A213" s="77" t="str">
        <f>HYPERLINK("https://www.mpam.mp.br/images/ACT_Nº_003-2021-MP-PGJ_534f2.pdf","TCT 3/2021 PGJ")</f>
        <v>TCT 3/2021 PGJ</v>
      </c>
      <c r="B213" s="91" t="s">
        <v>21</v>
      </c>
      <c r="C213" s="56" t="s">
        <v>1177</v>
      </c>
      <c r="D213" s="57" t="s">
        <v>1178</v>
      </c>
      <c r="E213" s="58" t="s">
        <v>1179</v>
      </c>
      <c r="F213" s="57">
        <v>44315</v>
      </c>
      <c r="G213" s="57">
        <v>46125</v>
      </c>
      <c r="H213" s="59" t="s">
        <v>636</v>
      </c>
      <c r="I213" s="59" t="s">
        <v>1180</v>
      </c>
      <c r="J213" s="59" t="s">
        <v>1181</v>
      </c>
      <c r="K213" s="59" t="s">
        <v>1182</v>
      </c>
      <c r="L213" s="59" t="s">
        <v>1183</v>
      </c>
      <c r="M213" s="59" t="s">
        <v>29</v>
      </c>
      <c r="N213" s="59" t="s">
        <v>29</v>
      </c>
      <c r="O213" s="87">
        <v>0</v>
      </c>
      <c r="P213" s="59" t="s">
        <v>29</v>
      </c>
      <c r="Q213" s="82">
        <v>0</v>
      </c>
      <c r="R213" s="59" t="s">
        <v>29</v>
      </c>
      <c r="S213" s="59" t="s">
        <v>807</v>
      </c>
      <c r="T213" s="59" t="s">
        <v>31</v>
      </c>
    </row>
    <row r="214" spans="1:20" ht="60" customHeight="1" x14ac:dyDescent="0.25">
      <c r="A214" s="77" t="str">
        <f>HYPERLINK("https://www.mpam.mp.br/images/ACT_Nº_002-2021-MP-JUCEA_e9331.pdf","TCT 2/2021 PGJ")</f>
        <v>TCT 2/2021 PGJ</v>
      </c>
      <c r="B214" s="91" t="s">
        <v>21</v>
      </c>
      <c r="C214" s="56" t="s">
        <v>1184</v>
      </c>
      <c r="D214" s="57" t="s">
        <v>1185</v>
      </c>
      <c r="E214" s="58" t="s">
        <v>1186</v>
      </c>
      <c r="F214" s="57">
        <v>44300</v>
      </c>
      <c r="G214" s="57">
        <v>46104</v>
      </c>
      <c r="H214" s="59" t="s">
        <v>636</v>
      </c>
      <c r="I214" s="59" t="s">
        <v>1187</v>
      </c>
      <c r="J214" s="59" t="s">
        <v>1188</v>
      </c>
      <c r="K214" s="59" t="s">
        <v>1189</v>
      </c>
      <c r="L214" s="59" t="s">
        <v>1190</v>
      </c>
      <c r="M214" s="59" t="s">
        <v>29</v>
      </c>
      <c r="N214" s="59" t="s">
        <v>29</v>
      </c>
      <c r="O214" s="87">
        <v>0</v>
      </c>
      <c r="P214" s="59" t="s">
        <v>29</v>
      </c>
      <c r="Q214" s="82">
        <v>0</v>
      </c>
      <c r="R214" s="59" t="s">
        <v>29</v>
      </c>
      <c r="S214" s="59" t="s">
        <v>807</v>
      </c>
      <c r="T214" s="59" t="s">
        <v>31</v>
      </c>
    </row>
    <row r="215" spans="1:20" ht="60" customHeight="1" x14ac:dyDescent="0.25">
      <c r="A215" s="77" t="str">
        <f>HYPERLINK("https://www.mpam.mp.br/images/ACT_-_SIMBA_5b953.pdf","ACT  MPF/MPE-AM SIMBA-26/03/2021")</f>
        <v>ACT  MPF/MPE-AM SIMBA-26/03/2021</v>
      </c>
      <c r="B215" s="91" t="s">
        <v>21</v>
      </c>
      <c r="C215" s="56" t="s">
        <v>1191</v>
      </c>
      <c r="D215" s="57" t="s">
        <v>1192</v>
      </c>
      <c r="E215" s="58" t="s">
        <v>1193</v>
      </c>
      <c r="F215" s="57">
        <v>44293</v>
      </c>
      <c r="G215" s="57">
        <v>46107</v>
      </c>
      <c r="H215" s="59" t="s">
        <v>636</v>
      </c>
      <c r="I215" s="59" t="s">
        <v>1194</v>
      </c>
      <c r="J215" s="59" t="s">
        <v>99</v>
      </c>
      <c r="K215" s="72" t="s">
        <v>1195</v>
      </c>
      <c r="L215" s="59" t="s">
        <v>1196</v>
      </c>
      <c r="M215" s="59" t="s">
        <v>29</v>
      </c>
      <c r="N215" s="59" t="s">
        <v>29</v>
      </c>
      <c r="O215" s="87">
        <v>0</v>
      </c>
      <c r="P215" s="59" t="s">
        <v>29</v>
      </c>
      <c r="Q215" s="82">
        <v>0</v>
      </c>
      <c r="R215" s="59" t="s">
        <v>29</v>
      </c>
      <c r="S215" s="59" t="s">
        <v>807</v>
      </c>
      <c r="T215" s="73" t="s">
        <v>31</v>
      </c>
    </row>
    <row r="216" spans="1:20" ht="60" customHeight="1" x14ac:dyDescent="0.25">
      <c r="A216" s="77" t="str">
        <f>HYPERLINK("https://www.mpam.mp.br/images/ACT_Nº_068-2021-TRF4_f903a.pdf","TCT 068/2020 PGJ-TRF4")</f>
        <v>TCT 068/2020 PGJ-TRF4</v>
      </c>
      <c r="B216" s="91" t="s">
        <v>32</v>
      </c>
      <c r="C216" s="56" t="s">
        <v>1197</v>
      </c>
      <c r="D216" s="57" t="s">
        <v>1198</v>
      </c>
      <c r="E216" s="58" t="s">
        <v>1199</v>
      </c>
      <c r="F216" s="57">
        <v>44348</v>
      </c>
      <c r="G216" s="57">
        <v>46105</v>
      </c>
      <c r="H216" s="59" t="s">
        <v>636</v>
      </c>
      <c r="I216" s="59" t="s">
        <v>1200</v>
      </c>
      <c r="J216" s="59" t="s">
        <v>1201</v>
      </c>
      <c r="K216" s="59" t="s">
        <v>1202</v>
      </c>
      <c r="L216" s="59" t="s">
        <v>1002</v>
      </c>
      <c r="M216" s="59" t="s">
        <v>29</v>
      </c>
      <c r="N216" s="59" t="s">
        <v>29</v>
      </c>
      <c r="O216" s="87">
        <v>0</v>
      </c>
      <c r="P216" s="59" t="s">
        <v>29</v>
      </c>
      <c r="Q216" s="82">
        <v>0</v>
      </c>
      <c r="R216" s="59" t="s">
        <v>29</v>
      </c>
      <c r="S216" s="59" t="s">
        <v>807</v>
      </c>
      <c r="T216" s="73" t="s">
        <v>31</v>
      </c>
    </row>
    <row r="217" spans="1:20" ht="60" customHeight="1" x14ac:dyDescent="0.25">
      <c r="A217" s="77" t="str">
        <f>HYPERLINK("https://www.mpam.mp.br/images/Termo_de_Adesao_ao_Acordo_de_Cooperacao___CNMP_Meio_Ambiente_SICAR_063d5.pdf","T.A ao ACT CNMP-MMA - SICAR")</f>
        <v>T.A ao ACT CNMP-MMA - SICAR</v>
      </c>
      <c r="B217" s="91" t="s">
        <v>32</v>
      </c>
      <c r="C217" s="56" t="s">
        <v>1203</v>
      </c>
      <c r="D217" s="57" t="s">
        <v>1204</v>
      </c>
      <c r="E217" s="58" t="s">
        <v>1205</v>
      </c>
      <c r="F217" s="57">
        <v>44336</v>
      </c>
      <c r="G217" s="57" t="s">
        <v>810</v>
      </c>
      <c r="H217" s="59" t="s">
        <v>25</v>
      </c>
      <c r="I217" s="59" t="s">
        <v>36</v>
      </c>
      <c r="J217" s="59" t="s">
        <v>123</v>
      </c>
      <c r="K217" s="59" t="s">
        <v>1206</v>
      </c>
      <c r="L217" s="59" t="s">
        <v>1207</v>
      </c>
      <c r="M217" s="59" t="s">
        <v>29</v>
      </c>
      <c r="N217" s="59" t="s">
        <v>29</v>
      </c>
      <c r="O217" s="87">
        <v>0</v>
      </c>
      <c r="P217" s="59" t="s">
        <v>29</v>
      </c>
      <c r="Q217" s="82">
        <v>0</v>
      </c>
      <c r="R217" s="59" t="s">
        <v>29</v>
      </c>
      <c r="S217" s="59" t="s">
        <v>807</v>
      </c>
      <c r="T217" s="59" t="s">
        <v>31</v>
      </c>
    </row>
    <row r="218" spans="1:20" ht="60" customHeight="1" x14ac:dyDescent="0.25">
      <c r="A218" s="77" t="str">
        <f>HYPERLINK("https://www.mpam.mp.br/images/Termo_de_Adesão_nº_001-2020-MP-PGJ_b15b3.pdf","  TA 1/2020 PGJ")</f>
        <v xml:space="preserve">  TA 1/2020 PGJ</v>
      </c>
      <c r="B218" s="91" t="s">
        <v>32</v>
      </c>
      <c r="C218" s="56" t="s">
        <v>1208</v>
      </c>
      <c r="D218" s="57" t="s">
        <v>1209</v>
      </c>
      <c r="E218" s="58" t="s">
        <v>1210</v>
      </c>
      <c r="F218" s="57">
        <v>44154</v>
      </c>
      <c r="G218" s="57" t="s">
        <v>810</v>
      </c>
      <c r="H218" s="59" t="s">
        <v>25</v>
      </c>
      <c r="I218" s="59" t="s">
        <v>1170</v>
      </c>
      <c r="J218" s="59"/>
      <c r="K218" s="59"/>
      <c r="L218" s="59" t="s">
        <v>1211</v>
      </c>
      <c r="M218" s="59" t="s">
        <v>29</v>
      </c>
      <c r="N218" s="59" t="s">
        <v>29</v>
      </c>
      <c r="O218" s="87">
        <v>0</v>
      </c>
      <c r="P218" s="59" t="s">
        <v>29</v>
      </c>
      <c r="Q218" s="82">
        <v>0</v>
      </c>
      <c r="R218" s="59" t="s">
        <v>29</v>
      </c>
      <c r="S218" s="59" t="s">
        <v>807</v>
      </c>
      <c r="T218" s="59" t="str">
        <f>HYPERLINK("https://www.mpam.mp.br/images/1º_TA_a_Adesão_nº_001_2020-MP-PGJ_91417.pdf","1º Termo Aditivo")</f>
        <v>1º Termo Aditivo</v>
      </c>
    </row>
    <row r="219" spans="1:20" ht="60" customHeight="1" x14ac:dyDescent="0.25">
      <c r="A219" s="77" t="str">
        <f>HYPERLINK("https://www.mpam.mp.br/images/Termo_de_Cooperação_nº_072-2019-MPSP_-_INOVA_49da4.pdf","TCT 72/2019 PGJ")</f>
        <v>TCT 72/2019 PGJ</v>
      </c>
      <c r="B219" s="91" t="s">
        <v>21</v>
      </c>
      <c r="C219" s="56" t="s">
        <v>1212</v>
      </c>
      <c r="D219" s="57" t="s">
        <v>1213</v>
      </c>
      <c r="E219" s="58" t="s">
        <v>1214</v>
      </c>
      <c r="F219" s="57">
        <v>43837</v>
      </c>
      <c r="G219" s="57" t="s">
        <v>810</v>
      </c>
      <c r="H219" s="59" t="s">
        <v>25</v>
      </c>
      <c r="I219" s="59" t="s">
        <v>1215</v>
      </c>
      <c r="J219" s="59" t="s">
        <v>584</v>
      </c>
      <c r="K219" s="59" t="s">
        <v>1216</v>
      </c>
      <c r="L219" s="59" t="s">
        <v>1217</v>
      </c>
      <c r="M219" s="59" t="s">
        <v>29</v>
      </c>
      <c r="N219" s="59" t="s">
        <v>29</v>
      </c>
      <c r="O219" s="87">
        <v>0</v>
      </c>
      <c r="P219" s="59" t="s">
        <v>29</v>
      </c>
      <c r="Q219" s="82">
        <v>0</v>
      </c>
      <c r="R219" s="59" t="s">
        <v>29</v>
      </c>
      <c r="S219" s="59" t="s">
        <v>807</v>
      </c>
      <c r="T219" s="59" t="s">
        <v>31</v>
      </c>
    </row>
    <row r="220" spans="1:20" ht="60" customHeight="1" x14ac:dyDescent="0.25">
      <c r="A220" s="77" t="str">
        <f>HYPERLINK("https://www.mpam.mp.br/images/Acordo_de_Cooperação_nº_005.19_-_MPAM_-_CNMP_e_CNJ_-_Adesão_ao_TCT_047.2018_06872.pdf","TCT 5/2019 PGJ")</f>
        <v>TCT 5/2019 PGJ</v>
      </c>
      <c r="B220" s="91" t="s">
        <v>21</v>
      </c>
      <c r="C220" s="56" t="s">
        <v>1218</v>
      </c>
      <c r="D220" s="57" t="s">
        <v>1219</v>
      </c>
      <c r="E220" s="58" t="s">
        <v>1220</v>
      </c>
      <c r="F220" s="57">
        <v>43545</v>
      </c>
      <c r="G220" s="57">
        <v>47104</v>
      </c>
      <c r="H220" s="59" t="s">
        <v>25</v>
      </c>
      <c r="I220" s="59" t="s">
        <v>829</v>
      </c>
      <c r="J220" s="59" t="s">
        <v>123</v>
      </c>
      <c r="K220" s="59" t="s">
        <v>1221</v>
      </c>
      <c r="L220" s="59" t="s">
        <v>1222</v>
      </c>
      <c r="M220" s="59" t="s">
        <v>29</v>
      </c>
      <c r="N220" s="59" t="s">
        <v>29</v>
      </c>
      <c r="O220" s="87">
        <v>0</v>
      </c>
      <c r="P220" s="59" t="s">
        <v>29</v>
      </c>
      <c r="Q220" s="82">
        <v>0</v>
      </c>
      <c r="R220" s="59" t="s">
        <v>29</v>
      </c>
      <c r="S220" s="59" t="s">
        <v>807</v>
      </c>
      <c r="T220" s="59" t="str">
        <f>HYPERLINK("https://www.mpam.mp.br/images/1º_TA_ao_ACT_nº_047_2018_-_CNMP_dd4e1.pdf","1º Termo Aditivo")</f>
        <v>1º Termo Aditivo</v>
      </c>
    </row>
    <row r="221" spans="1:20" ht="60" customHeight="1" x14ac:dyDescent="0.25">
      <c r="A221" s="77" t="str">
        <f>HYPERLINK("https://www.mpam.mp.br/images/ACT_01-2019_-_MPF_-_MPE_AM_5ddd0.pdf","TCT 1/2019 PGJ")</f>
        <v>TCT 1/2019 PGJ</v>
      </c>
      <c r="B221" s="91" t="s">
        <v>21</v>
      </c>
      <c r="C221" s="56" t="s">
        <v>1223</v>
      </c>
      <c r="D221" s="57" t="s">
        <v>1224</v>
      </c>
      <c r="E221" s="58" t="s">
        <v>1225</v>
      </c>
      <c r="F221" s="57">
        <v>43473</v>
      </c>
      <c r="G221" s="57" t="s">
        <v>810</v>
      </c>
      <c r="H221" s="59" t="s">
        <v>25</v>
      </c>
      <c r="I221" s="59" t="s">
        <v>1226</v>
      </c>
      <c r="J221" s="59" t="s">
        <v>557</v>
      </c>
      <c r="K221" s="59" t="s">
        <v>1227</v>
      </c>
      <c r="L221" s="59" t="s">
        <v>1228</v>
      </c>
      <c r="M221" s="59" t="s">
        <v>29</v>
      </c>
      <c r="N221" s="59" t="s">
        <v>29</v>
      </c>
      <c r="O221" s="87">
        <v>0</v>
      </c>
      <c r="P221" s="59" t="s">
        <v>29</v>
      </c>
      <c r="Q221" s="82">
        <v>0</v>
      </c>
      <c r="R221" s="59" t="s">
        <v>29</v>
      </c>
      <c r="S221" s="59" t="s">
        <v>807</v>
      </c>
      <c r="T221" s="59" t="s">
        <v>31</v>
      </c>
    </row>
    <row r="222" spans="1:20" ht="60" customHeight="1" x14ac:dyDescent="0.25">
      <c r="A222" s="77" t="str">
        <f>HYPERLINK("https://www.mpam.mp.br/images/TERMO_COOPERAÇAO_MPE_PGE_SEFAZ_ecaee.pdf","TCT 1/2016 PGJ")</f>
        <v>TCT 1/2016 PGJ</v>
      </c>
      <c r="B222" s="91" t="s">
        <v>21</v>
      </c>
      <c r="C222" s="56" t="s">
        <v>1229</v>
      </c>
      <c r="D222" s="57" t="s">
        <v>1230</v>
      </c>
      <c r="E222" s="58" t="s">
        <v>1231</v>
      </c>
      <c r="F222" s="57">
        <v>43004</v>
      </c>
      <c r="G222" s="57" t="s">
        <v>810</v>
      </c>
      <c r="H222" s="59" t="s">
        <v>25</v>
      </c>
      <c r="I222" s="59" t="s">
        <v>1232</v>
      </c>
      <c r="J222" s="59" t="s">
        <v>194</v>
      </c>
      <c r="K222" s="59" t="s">
        <v>1233</v>
      </c>
      <c r="L222" s="59" t="s">
        <v>1234</v>
      </c>
      <c r="M222" s="59" t="s">
        <v>29</v>
      </c>
      <c r="N222" s="59" t="s">
        <v>29</v>
      </c>
      <c r="O222" s="87">
        <v>0</v>
      </c>
      <c r="P222" s="59" t="s">
        <v>29</v>
      </c>
      <c r="Q222" s="87">
        <v>0</v>
      </c>
      <c r="R222" s="59" t="s">
        <v>29</v>
      </c>
      <c r="S222" s="59" t="s">
        <v>807</v>
      </c>
      <c r="T222" s="59" t="s">
        <v>31</v>
      </c>
    </row>
    <row r="223" spans="1:20" ht="60" customHeight="1" x14ac:dyDescent="0.25">
      <c r="A223" s="77" t="str">
        <f>HYPERLINK("https://www.mpam.mp.br/images/Convenio_n__001.2013___CNMP_BACEN_797b0.pdf","TC 1/2013 PGJ")</f>
        <v>TC 1/2013 PGJ</v>
      </c>
      <c r="B223" s="91" t="s">
        <v>21</v>
      </c>
      <c r="C223" s="56" t="s">
        <v>1235</v>
      </c>
      <c r="D223" s="57" t="s">
        <v>1236</v>
      </c>
      <c r="E223" s="58" t="s">
        <v>1237</v>
      </c>
      <c r="F223" s="57">
        <v>41899</v>
      </c>
      <c r="G223" s="59" t="s">
        <v>810</v>
      </c>
      <c r="H223" s="59" t="s">
        <v>25</v>
      </c>
      <c r="I223" s="59" t="s">
        <v>829</v>
      </c>
      <c r="J223" s="59" t="s">
        <v>123</v>
      </c>
      <c r="K223" s="59" t="s">
        <v>1238</v>
      </c>
      <c r="L223" s="59" t="s">
        <v>1239</v>
      </c>
      <c r="M223" s="59" t="s">
        <v>29</v>
      </c>
      <c r="N223" s="59" t="s">
        <v>29</v>
      </c>
      <c r="O223" s="87">
        <v>0</v>
      </c>
      <c r="P223" s="59" t="s">
        <v>29</v>
      </c>
      <c r="Q223" s="87">
        <v>0</v>
      </c>
      <c r="R223" s="59" t="s">
        <v>29</v>
      </c>
      <c r="S223" s="59" t="s">
        <v>807</v>
      </c>
      <c r="T223" s="59" t="s">
        <v>31</v>
      </c>
    </row>
    <row r="224" spans="1:20" ht="60" customHeight="1" x14ac:dyDescent="0.25">
      <c r="A224" s="77" t="str">
        <f>HYPERLINK("https://www.mpam.mp.br/images/convA_nio_CGU_006_2003_09ea7.pdf","TCT 6/2003 PGJ")</f>
        <v>TCT 6/2003 PGJ</v>
      </c>
      <c r="B224" s="91" t="s">
        <v>21</v>
      </c>
      <c r="C224" s="56" t="s">
        <v>1240</v>
      </c>
      <c r="D224" s="57">
        <v>37938</v>
      </c>
      <c r="E224" s="58" t="s">
        <v>1241</v>
      </c>
      <c r="F224" s="57">
        <v>37938</v>
      </c>
      <c r="G224" s="57" t="s">
        <v>810</v>
      </c>
      <c r="H224" s="59" t="s">
        <v>25</v>
      </c>
      <c r="I224" s="59" t="s">
        <v>1242</v>
      </c>
      <c r="J224" s="59" t="s">
        <v>78</v>
      </c>
      <c r="K224" s="59" t="s">
        <v>1243</v>
      </c>
      <c r="L224" s="59" t="s">
        <v>1244</v>
      </c>
      <c r="M224" s="59" t="s">
        <v>29</v>
      </c>
      <c r="N224" s="59" t="s">
        <v>29</v>
      </c>
      <c r="O224" s="87">
        <v>0</v>
      </c>
      <c r="P224" s="59" t="s">
        <v>29</v>
      </c>
      <c r="Q224" s="87">
        <v>0</v>
      </c>
      <c r="R224" s="59" t="s">
        <v>29</v>
      </c>
      <c r="S224" s="59" t="s">
        <v>807</v>
      </c>
      <c r="T224" s="59" t="str">
        <f>HYPERLINK("https://www.mpam.mp.br/images/1º_TA_ao_ACT_Nº_006-2003_31ad4.pdf","1º Termo Aditivo")</f>
        <v>1º Termo Aditivo</v>
      </c>
    </row>
    <row r="225" spans="1:262" ht="60" customHeight="1" x14ac:dyDescent="0.25">
      <c r="A225" s="111" t="str">
        <f>HYPERLINK("https://www.mpam.mp.br/images/Consignacao_Folha_de_Pagamento___Caixa_2004_68714.pdfhttps:/www.mpam.mp.br/images/Consignacao_Folha_de_Pagamento___Caixa_2004_68714.pdf","TC 13931-9/2004 PGJ")</f>
        <v>TC 13931-9/2004 PGJ</v>
      </c>
      <c r="B225" s="112" t="s">
        <v>21</v>
      </c>
      <c r="C225" s="116" t="s">
        <v>1245</v>
      </c>
      <c r="D225" s="109" t="s">
        <v>1246</v>
      </c>
      <c r="E225" s="117" t="s">
        <v>1247</v>
      </c>
      <c r="F225" s="109">
        <v>43004</v>
      </c>
      <c r="G225" s="109" t="s">
        <v>810</v>
      </c>
      <c r="H225" s="110" t="s">
        <v>25</v>
      </c>
      <c r="I225" s="110" t="s">
        <v>56</v>
      </c>
      <c r="J225" s="110" t="s">
        <v>57</v>
      </c>
      <c r="K225" s="110" t="s">
        <v>1248</v>
      </c>
      <c r="L225" s="110" t="s">
        <v>1249</v>
      </c>
      <c r="M225" s="110" t="s">
        <v>29</v>
      </c>
      <c r="N225" s="110" t="s">
        <v>29</v>
      </c>
      <c r="O225" s="108">
        <v>0</v>
      </c>
      <c r="P225" s="110" t="s">
        <v>29</v>
      </c>
      <c r="Q225" s="108">
        <v>0</v>
      </c>
      <c r="R225" s="110" t="s">
        <v>29</v>
      </c>
      <c r="S225" s="59" t="s">
        <v>807</v>
      </c>
      <c r="T225" s="59" t="str">
        <f>HYPERLINK("https://www.mpam.mp.br/images/MPAM-2017-02-23T101519_3b53c.pdf","1º Termo Aditivo")</f>
        <v>1º Termo Aditivo</v>
      </c>
    </row>
    <row r="226" spans="1:262" ht="60" customHeight="1" x14ac:dyDescent="0.25">
      <c r="A226" s="111"/>
      <c r="B226" s="112"/>
      <c r="C226" s="116"/>
      <c r="D226" s="109"/>
      <c r="E226" s="117"/>
      <c r="F226" s="109"/>
      <c r="G226" s="109"/>
      <c r="H226" s="110"/>
      <c r="I226" s="110"/>
      <c r="J226" s="110"/>
      <c r="K226" s="110"/>
      <c r="L226" s="110"/>
      <c r="M226" s="110"/>
      <c r="N226" s="110"/>
      <c r="O226" s="108"/>
      <c r="P226" s="110"/>
      <c r="Q226" s="108"/>
      <c r="R226" s="110"/>
      <c r="S226" s="59" t="s">
        <v>807</v>
      </c>
      <c r="T226" s="59" t="str">
        <f>HYPERLINK("https://www.mpam.mp.br/images/2__Termo_Aditivo_ao_Convenio_de_Consignacao_em_Folha___Caixa_64a7a.pdf","2º Termo Aditivo")</f>
        <v>2º Termo Aditivo</v>
      </c>
    </row>
    <row r="227" spans="1:262" x14ac:dyDescent="0.25">
      <c r="A227" s="77"/>
      <c r="B227" s="91"/>
      <c r="C227" s="56"/>
      <c r="D227" s="57"/>
      <c r="E227" s="58"/>
      <c r="F227" s="57"/>
      <c r="G227" s="57"/>
      <c r="H227" s="59"/>
      <c r="I227" s="59"/>
      <c r="J227" s="59"/>
      <c r="K227" s="59"/>
      <c r="L227" s="68"/>
      <c r="M227" s="59"/>
      <c r="N227" s="59"/>
      <c r="O227" s="87"/>
      <c r="P227" s="87"/>
      <c r="Q227" s="87"/>
      <c r="R227" s="87"/>
      <c r="S227" s="59"/>
      <c r="T227" s="59"/>
    </row>
    <row r="228" spans="1:262" x14ac:dyDescent="0.25">
      <c r="A228" s="77"/>
      <c r="B228" s="91"/>
      <c r="C228" s="56"/>
      <c r="D228" s="57"/>
      <c r="E228" s="58"/>
      <c r="F228" s="57"/>
      <c r="G228" s="57"/>
      <c r="H228" s="59"/>
      <c r="I228" s="59"/>
      <c r="J228" s="59"/>
      <c r="K228" s="59"/>
      <c r="L228" s="59"/>
      <c r="M228" s="59"/>
      <c r="N228" s="59"/>
      <c r="O228" s="87"/>
      <c r="P228" s="87"/>
      <c r="Q228" s="87"/>
      <c r="R228" s="87"/>
      <c r="S228" s="59"/>
      <c r="T228" s="59"/>
    </row>
    <row r="229" spans="1:262" ht="15" customHeight="1" x14ac:dyDescent="0.25">
      <c r="A229" s="50" t="s">
        <v>1250</v>
      </c>
      <c r="B229" s="61">
        <v>192</v>
      </c>
      <c r="C229" s="56"/>
      <c r="D229" s="57"/>
      <c r="E229" s="58"/>
      <c r="F229" s="57"/>
      <c r="G229" s="59"/>
      <c r="H229" s="59"/>
      <c r="I229" s="59"/>
      <c r="J229" s="59"/>
      <c r="K229" s="59"/>
      <c r="L229" s="68"/>
      <c r="M229" s="59"/>
      <c r="N229" s="59"/>
      <c r="O229" s="87"/>
      <c r="P229" s="87"/>
      <c r="Q229" s="100"/>
      <c r="R229" s="100"/>
      <c r="S229" s="59"/>
      <c r="T229" s="59"/>
    </row>
    <row r="230" spans="1:262" s="33" customFormat="1" ht="15" customHeight="1" x14ac:dyDescent="0.25">
      <c r="A230" s="50" t="s">
        <v>1251</v>
      </c>
      <c r="B230" s="61">
        <v>13</v>
      </c>
      <c r="C230" s="59"/>
      <c r="D230" s="59"/>
      <c r="E230" s="60"/>
      <c r="F230" s="57"/>
      <c r="G230" s="57"/>
      <c r="H230" s="59"/>
      <c r="I230" s="59"/>
      <c r="J230" s="78"/>
      <c r="K230" s="78"/>
      <c r="L230" s="78"/>
      <c r="M230" s="78"/>
      <c r="N230" s="78"/>
      <c r="O230" s="88"/>
      <c r="P230" s="88"/>
      <c r="Q230" s="88"/>
      <c r="R230" s="88"/>
      <c r="S230" s="78"/>
      <c r="T230" s="76"/>
      <c r="U230" s="32"/>
      <c r="V230" s="32"/>
      <c r="W230" s="32"/>
      <c r="X230" s="32"/>
      <c r="Y230" s="32"/>
      <c r="Z230" s="32"/>
      <c r="AA230" s="32"/>
      <c r="AB230" s="32"/>
      <c r="AC230" s="32"/>
      <c r="AD230" s="32"/>
      <c r="AE230" s="32"/>
      <c r="AF230" s="32"/>
      <c r="AG230" s="32"/>
      <c r="AH230" s="32"/>
      <c r="AI230" s="32"/>
      <c r="AJ230" s="32"/>
      <c r="AK230" s="32"/>
      <c r="AL230" s="32"/>
      <c r="AM230" s="32"/>
      <c r="AN230" s="32"/>
      <c r="AO230" s="32"/>
      <c r="AP230" s="32"/>
      <c r="AQ230" s="32"/>
      <c r="AR230" s="32"/>
      <c r="AS230" s="32"/>
      <c r="AT230" s="32"/>
      <c r="AU230" s="32"/>
      <c r="AV230" s="32"/>
      <c r="AW230" s="32"/>
      <c r="AX230" s="32"/>
      <c r="AY230" s="32"/>
      <c r="AZ230" s="32"/>
      <c r="BA230" s="32"/>
      <c r="BB230" s="32"/>
      <c r="BC230" s="32"/>
      <c r="BD230" s="32"/>
      <c r="BE230" s="32"/>
      <c r="BF230" s="32"/>
      <c r="BG230" s="32"/>
      <c r="BH230" s="32"/>
      <c r="BI230" s="32"/>
      <c r="BJ230" s="32"/>
      <c r="BK230" s="32"/>
      <c r="BL230" s="32"/>
      <c r="BM230" s="32"/>
      <c r="BN230" s="32"/>
      <c r="BO230" s="32"/>
      <c r="BP230" s="32"/>
      <c r="BQ230" s="32"/>
      <c r="BR230" s="32"/>
      <c r="BS230" s="32"/>
      <c r="BT230" s="32"/>
      <c r="BU230" s="32"/>
      <c r="BV230" s="32"/>
      <c r="BW230" s="32"/>
      <c r="BX230" s="32"/>
      <c r="BY230" s="32"/>
      <c r="BZ230" s="32"/>
      <c r="CA230" s="32"/>
      <c r="CB230" s="32"/>
      <c r="CC230" s="32"/>
      <c r="CD230" s="32"/>
      <c r="CE230" s="32"/>
      <c r="CF230" s="32"/>
      <c r="CG230" s="32"/>
      <c r="CH230" s="32"/>
      <c r="CI230" s="32"/>
      <c r="CJ230" s="32"/>
      <c r="CK230" s="32"/>
      <c r="CL230" s="32"/>
      <c r="CM230" s="32"/>
      <c r="CN230" s="32"/>
      <c r="CO230" s="32"/>
      <c r="CP230" s="32"/>
      <c r="CQ230" s="32"/>
      <c r="CR230" s="32"/>
      <c r="CS230" s="32"/>
      <c r="CT230" s="32"/>
      <c r="CU230" s="32"/>
      <c r="CV230" s="32"/>
      <c r="CW230" s="32"/>
      <c r="CX230" s="32"/>
      <c r="CY230" s="32"/>
      <c r="CZ230" s="32"/>
      <c r="DA230" s="32"/>
      <c r="DB230" s="32"/>
      <c r="DC230" s="32"/>
      <c r="DD230" s="32"/>
      <c r="DE230" s="32"/>
      <c r="DF230" s="32"/>
      <c r="DG230" s="32"/>
      <c r="DH230" s="32"/>
      <c r="DI230" s="32"/>
      <c r="DJ230" s="32"/>
      <c r="DK230" s="32"/>
      <c r="DL230" s="32"/>
      <c r="DM230" s="32"/>
      <c r="DN230" s="32"/>
      <c r="DO230" s="32"/>
      <c r="DP230" s="32"/>
      <c r="DQ230" s="32"/>
      <c r="DR230" s="32"/>
      <c r="DS230" s="32"/>
      <c r="DT230" s="32"/>
      <c r="DU230" s="32"/>
      <c r="DV230" s="32"/>
      <c r="DW230" s="32"/>
      <c r="DX230" s="32"/>
      <c r="DY230" s="32"/>
      <c r="DZ230" s="32"/>
      <c r="EA230" s="32"/>
      <c r="EB230" s="32"/>
      <c r="EC230" s="32"/>
      <c r="ED230" s="32"/>
      <c r="EE230" s="32"/>
      <c r="EF230" s="32"/>
      <c r="EG230" s="32"/>
      <c r="EH230" s="32"/>
      <c r="EI230" s="32"/>
      <c r="EJ230" s="32"/>
      <c r="EK230" s="32"/>
      <c r="EL230" s="32"/>
      <c r="EM230" s="32"/>
      <c r="EN230" s="32"/>
      <c r="EO230" s="32"/>
      <c r="EP230" s="32"/>
      <c r="EQ230" s="32"/>
      <c r="ER230" s="32"/>
      <c r="ES230" s="32"/>
      <c r="ET230" s="32"/>
      <c r="EU230" s="32"/>
      <c r="EV230" s="32"/>
      <c r="EW230" s="32"/>
      <c r="EX230" s="32"/>
      <c r="EY230" s="32"/>
      <c r="EZ230" s="32"/>
      <c r="FA230" s="32"/>
      <c r="FB230" s="32"/>
      <c r="FC230" s="32"/>
      <c r="FD230" s="32"/>
      <c r="FE230" s="32"/>
      <c r="FF230" s="32"/>
      <c r="FG230" s="32"/>
      <c r="FH230" s="32"/>
      <c r="FI230" s="32"/>
      <c r="FJ230" s="32"/>
      <c r="FK230" s="32"/>
      <c r="FL230" s="32"/>
      <c r="FM230" s="32"/>
      <c r="FN230" s="32"/>
      <c r="FO230" s="32"/>
      <c r="FP230" s="32"/>
      <c r="FQ230" s="32"/>
      <c r="FR230" s="32"/>
      <c r="FS230" s="32"/>
      <c r="FT230" s="32"/>
      <c r="FU230" s="32"/>
      <c r="FV230" s="32"/>
      <c r="FW230" s="32"/>
      <c r="FX230" s="32"/>
      <c r="FY230" s="32"/>
      <c r="FZ230" s="32"/>
      <c r="GA230" s="32"/>
      <c r="GB230" s="32"/>
      <c r="GC230" s="32"/>
      <c r="GD230" s="32"/>
      <c r="GE230" s="32"/>
      <c r="GF230" s="32"/>
      <c r="GG230" s="32"/>
      <c r="GH230" s="32"/>
      <c r="GI230" s="32"/>
      <c r="GJ230" s="32"/>
      <c r="GK230" s="32"/>
      <c r="GL230" s="32"/>
      <c r="GM230" s="32"/>
      <c r="GN230" s="32"/>
      <c r="GO230" s="32"/>
      <c r="GP230" s="32"/>
      <c r="GQ230" s="32"/>
      <c r="GR230" s="32"/>
      <c r="GS230" s="32"/>
      <c r="GT230" s="32"/>
      <c r="GU230" s="32"/>
      <c r="GV230" s="32"/>
      <c r="GW230" s="32"/>
      <c r="GX230" s="32"/>
      <c r="GY230" s="32"/>
      <c r="GZ230" s="32"/>
      <c r="HA230" s="32"/>
      <c r="HB230" s="32"/>
      <c r="HC230" s="32"/>
      <c r="HD230" s="32"/>
      <c r="HE230" s="32"/>
      <c r="HF230" s="32"/>
      <c r="HG230" s="32"/>
      <c r="HH230" s="32"/>
      <c r="HI230" s="32"/>
      <c r="HJ230" s="32"/>
      <c r="HK230" s="32"/>
      <c r="HL230" s="32"/>
      <c r="HM230" s="32"/>
      <c r="HN230" s="32"/>
      <c r="HO230" s="32"/>
      <c r="HP230" s="32"/>
      <c r="HQ230" s="32"/>
      <c r="HR230" s="32"/>
      <c r="HS230" s="32"/>
      <c r="HT230" s="32"/>
      <c r="HU230" s="32"/>
      <c r="HV230" s="32"/>
      <c r="HW230" s="32"/>
      <c r="HX230" s="32"/>
      <c r="HY230" s="32"/>
      <c r="HZ230" s="32"/>
      <c r="IA230" s="32"/>
      <c r="IB230" s="32"/>
      <c r="IC230" s="32"/>
      <c r="ID230" s="32"/>
      <c r="IE230" s="32"/>
      <c r="IF230" s="32"/>
      <c r="IG230" s="32"/>
      <c r="IH230" s="32"/>
      <c r="II230" s="32"/>
      <c r="IJ230" s="32"/>
      <c r="IK230" s="32"/>
      <c r="IL230" s="32"/>
      <c r="IM230" s="32"/>
      <c r="IN230" s="32"/>
      <c r="IO230" s="32"/>
      <c r="IP230" s="32"/>
      <c r="IQ230" s="32"/>
      <c r="IR230" s="32"/>
      <c r="IS230" s="32"/>
      <c r="IT230" s="32"/>
      <c r="IU230" s="32"/>
      <c r="IV230" s="32"/>
      <c r="IW230" s="32"/>
      <c r="IX230" s="32"/>
      <c r="IY230" s="32"/>
      <c r="IZ230" s="32"/>
      <c r="JA230" s="32"/>
      <c r="JB230" s="32"/>
    </row>
    <row r="231" spans="1:262" s="33" customFormat="1" ht="15" customHeight="1" x14ac:dyDescent="0.25">
      <c r="A231" s="50" t="s">
        <v>1252</v>
      </c>
      <c r="B231" s="61">
        <v>0</v>
      </c>
      <c r="C231" s="59"/>
      <c r="D231" s="59"/>
      <c r="E231" s="60"/>
      <c r="F231" s="57"/>
      <c r="G231" s="57"/>
      <c r="H231" s="59"/>
      <c r="I231" s="59"/>
      <c r="J231" s="93"/>
      <c r="K231" s="93"/>
      <c r="L231" s="93"/>
      <c r="M231" s="93"/>
      <c r="N231" s="93"/>
      <c r="O231" s="96"/>
      <c r="P231" s="96"/>
      <c r="Q231" s="96"/>
      <c r="R231" s="96"/>
      <c r="S231" s="93"/>
      <c r="T231" s="83"/>
      <c r="U231" s="32"/>
      <c r="V231" s="32"/>
      <c r="W231" s="32"/>
      <c r="X231" s="32"/>
      <c r="Y231" s="32"/>
      <c r="Z231" s="32"/>
      <c r="AA231" s="32"/>
      <c r="AB231" s="32"/>
      <c r="AC231" s="32"/>
      <c r="AD231" s="32"/>
      <c r="AE231" s="32"/>
      <c r="AF231" s="32"/>
      <c r="AG231" s="32"/>
      <c r="AH231" s="32"/>
      <c r="AI231" s="32"/>
      <c r="AJ231" s="32"/>
      <c r="AK231" s="32"/>
      <c r="AL231" s="32"/>
      <c r="AM231" s="32"/>
      <c r="AN231" s="32"/>
      <c r="AO231" s="32"/>
      <c r="AP231" s="32"/>
      <c r="AQ231" s="32"/>
      <c r="AR231" s="32"/>
      <c r="AS231" s="32"/>
      <c r="AT231" s="32"/>
      <c r="AU231" s="32"/>
      <c r="AV231" s="32"/>
      <c r="AW231" s="32"/>
      <c r="AX231" s="32"/>
      <c r="AY231" s="32"/>
      <c r="AZ231" s="32"/>
      <c r="BA231" s="32"/>
      <c r="BB231" s="32"/>
      <c r="BC231" s="32"/>
      <c r="BD231" s="32"/>
      <c r="BE231" s="32"/>
      <c r="BF231" s="32"/>
      <c r="BG231" s="32"/>
      <c r="BH231" s="32"/>
      <c r="BI231" s="32"/>
      <c r="BJ231" s="32"/>
      <c r="BK231" s="32"/>
      <c r="BL231" s="32"/>
      <c r="BM231" s="32"/>
      <c r="BN231" s="32"/>
      <c r="BO231" s="32"/>
      <c r="BP231" s="32"/>
      <c r="BQ231" s="32"/>
      <c r="BR231" s="32"/>
      <c r="BS231" s="32"/>
      <c r="BT231" s="32"/>
      <c r="BU231" s="32"/>
      <c r="BV231" s="32"/>
      <c r="BW231" s="32"/>
      <c r="BX231" s="32"/>
      <c r="BY231" s="32"/>
      <c r="BZ231" s="32"/>
      <c r="CA231" s="32"/>
      <c r="CB231" s="32"/>
      <c r="CC231" s="32"/>
      <c r="CD231" s="32"/>
      <c r="CE231" s="32"/>
      <c r="CF231" s="32"/>
      <c r="CG231" s="32"/>
      <c r="CH231" s="32"/>
      <c r="CI231" s="32"/>
      <c r="CJ231" s="32"/>
      <c r="CK231" s="32"/>
      <c r="CL231" s="32"/>
      <c r="CM231" s="32"/>
      <c r="CN231" s="32"/>
      <c r="CO231" s="32"/>
      <c r="CP231" s="32"/>
      <c r="CQ231" s="32"/>
      <c r="CR231" s="32"/>
      <c r="CS231" s="32"/>
      <c r="CT231" s="32"/>
      <c r="CU231" s="32"/>
      <c r="CV231" s="32"/>
      <c r="CW231" s="32"/>
      <c r="CX231" s="32"/>
      <c r="CY231" s="32"/>
      <c r="CZ231" s="32"/>
      <c r="DA231" s="32"/>
      <c r="DB231" s="32"/>
      <c r="DC231" s="32"/>
      <c r="DD231" s="32"/>
      <c r="DE231" s="32"/>
      <c r="DF231" s="32"/>
      <c r="DG231" s="32"/>
      <c r="DH231" s="32"/>
      <c r="DI231" s="32"/>
      <c r="DJ231" s="32"/>
      <c r="DK231" s="32"/>
      <c r="DL231" s="32"/>
      <c r="DM231" s="32"/>
      <c r="DN231" s="32"/>
      <c r="DO231" s="32"/>
      <c r="DP231" s="32"/>
      <c r="DQ231" s="32"/>
      <c r="DR231" s="32"/>
      <c r="DS231" s="32"/>
      <c r="DT231" s="32"/>
      <c r="DU231" s="32"/>
      <c r="DV231" s="32"/>
      <c r="DW231" s="32"/>
      <c r="DX231" s="32"/>
      <c r="DY231" s="32"/>
      <c r="DZ231" s="32"/>
      <c r="EA231" s="32"/>
      <c r="EB231" s="32"/>
      <c r="EC231" s="32"/>
      <c r="ED231" s="32"/>
      <c r="EE231" s="32"/>
      <c r="EF231" s="32"/>
      <c r="EG231" s="32"/>
      <c r="EH231" s="32"/>
      <c r="EI231" s="32"/>
      <c r="EJ231" s="32"/>
      <c r="EK231" s="32"/>
      <c r="EL231" s="32"/>
      <c r="EM231" s="32"/>
      <c r="EN231" s="32"/>
      <c r="EO231" s="32"/>
      <c r="EP231" s="32"/>
      <c r="EQ231" s="32"/>
      <c r="ER231" s="32"/>
      <c r="ES231" s="32"/>
      <c r="ET231" s="32"/>
      <c r="EU231" s="32"/>
      <c r="EV231" s="32"/>
      <c r="EW231" s="32"/>
      <c r="EX231" s="32"/>
      <c r="EY231" s="32"/>
      <c r="EZ231" s="32"/>
      <c r="FA231" s="32"/>
      <c r="FB231" s="32"/>
      <c r="FC231" s="32"/>
      <c r="FD231" s="32"/>
      <c r="FE231" s="32"/>
      <c r="FF231" s="32"/>
      <c r="FG231" s="32"/>
      <c r="FH231" s="32"/>
      <c r="FI231" s="32"/>
      <c r="FJ231" s="32"/>
      <c r="FK231" s="32"/>
      <c r="FL231" s="32"/>
      <c r="FM231" s="32"/>
      <c r="FN231" s="32"/>
      <c r="FO231" s="32"/>
      <c r="FP231" s="32"/>
      <c r="FQ231" s="32"/>
      <c r="FR231" s="32"/>
      <c r="FS231" s="32"/>
      <c r="FT231" s="32"/>
      <c r="FU231" s="32"/>
      <c r="FV231" s="32"/>
      <c r="FW231" s="32"/>
      <c r="FX231" s="32"/>
      <c r="FY231" s="32"/>
      <c r="FZ231" s="32"/>
      <c r="GA231" s="32"/>
      <c r="GB231" s="32"/>
      <c r="GC231" s="32"/>
      <c r="GD231" s="32"/>
      <c r="GE231" s="32"/>
      <c r="GF231" s="32"/>
      <c r="GG231" s="32"/>
      <c r="GH231" s="32"/>
      <c r="GI231" s="32"/>
      <c r="GJ231" s="32"/>
      <c r="GK231" s="32"/>
      <c r="GL231" s="32"/>
      <c r="GM231" s="32"/>
      <c r="GN231" s="32"/>
      <c r="GO231" s="32"/>
      <c r="GP231" s="32"/>
      <c r="GQ231" s="32"/>
      <c r="GR231" s="32"/>
      <c r="GS231" s="32"/>
      <c r="GT231" s="32"/>
      <c r="GU231" s="32"/>
      <c r="GV231" s="32"/>
      <c r="GW231" s="32"/>
      <c r="GX231" s="32"/>
      <c r="GY231" s="32"/>
      <c r="GZ231" s="32"/>
      <c r="HA231" s="32"/>
      <c r="HB231" s="32"/>
      <c r="HC231" s="32"/>
      <c r="HD231" s="32"/>
      <c r="HE231" s="32"/>
      <c r="HF231" s="32"/>
      <c r="HG231" s="32"/>
      <c r="HH231" s="32"/>
      <c r="HI231" s="32"/>
      <c r="HJ231" s="32"/>
      <c r="HK231" s="32"/>
      <c r="HL231" s="32"/>
      <c r="HM231" s="32"/>
      <c r="HN231" s="32"/>
      <c r="HO231" s="32"/>
      <c r="HP231" s="32"/>
      <c r="HQ231" s="32"/>
      <c r="HR231" s="32"/>
      <c r="HS231" s="32"/>
      <c r="HT231" s="32"/>
      <c r="HU231" s="32"/>
      <c r="HV231" s="32"/>
      <c r="HW231" s="32"/>
      <c r="HX231" s="32"/>
      <c r="HY231" s="32"/>
      <c r="HZ231" s="32"/>
      <c r="IA231" s="32"/>
      <c r="IB231" s="32"/>
      <c r="IC231" s="32"/>
      <c r="ID231" s="32"/>
      <c r="IE231" s="32"/>
      <c r="IF231" s="32"/>
      <c r="IG231" s="32"/>
      <c r="IH231" s="32"/>
      <c r="II231" s="32"/>
      <c r="IJ231" s="32"/>
      <c r="IK231" s="32"/>
      <c r="IL231" s="32"/>
      <c r="IM231" s="32"/>
      <c r="IN231" s="32"/>
      <c r="IO231" s="32"/>
      <c r="IP231" s="32"/>
      <c r="IQ231" s="32"/>
      <c r="IR231" s="32"/>
      <c r="IS231" s="32"/>
      <c r="IT231" s="32"/>
      <c r="IU231" s="32"/>
      <c r="IV231" s="32"/>
      <c r="IW231" s="32"/>
      <c r="IX231" s="32"/>
      <c r="IY231" s="32"/>
      <c r="IZ231" s="32"/>
      <c r="JA231" s="32"/>
      <c r="JB231" s="32"/>
    </row>
    <row r="232" spans="1:262" s="33" customFormat="1" ht="15" customHeight="1" x14ac:dyDescent="0.25">
      <c r="A232" s="118" t="s">
        <v>1253</v>
      </c>
      <c r="B232" s="119"/>
      <c r="C232" s="120"/>
      <c r="D232" s="59"/>
      <c r="E232" s="60"/>
      <c r="F232" s="57"/>
      <c r="G232" s="57"/>
      <c r="H232" s="59"/>
      <c r="I232" s="59"/>
      <c r="J232" s="93"/>
      <c r="K232" s="93"/>
      <c r="L232" s="93"/>
      <c r="M232" s="93"/>
      <c r="N232" s="93"/>
      <c r="O232" s="96"/>
      <c r="P232" s="96"/>
      <c r="Q232" s="96"/>
      <c r="R232" s="96"/>
      <c r="S232" s="93"/>
      <c r="T232" s="83"/>
      <c r="U232" s="32"/>
      <c r="V232" s="32"/>
      <c r="W232" s="32"/>
      <c r="X232" s="32"/>
      <c r="Y232" s="32"/>
      <c r="Z232" s="32"/>
      <c r="AA232" s="32"/>
      <c r="AB232" s="32"/>
      <c r="AC232" s="32"/>
      <c r="AD232" s="32"/>
      <c r="AE232" s="32"/>
      <c r="AF232" s="32"/>
      <c r="AG232" s="32"/>
      <c r="AH232" s="32"/>
      <c r="AI232" s="32"/>
      <c r="AJ232" s="32"/>
      <c r="AK232" s="32"/>
      <c r="AL232" s="32"/>
      <c r="AM232" s="32"/>
      <c r="AN232" s="32"/>
      <c r="AO232" s="32"/>
      <c r="AP232" s="32"/>
      <c r="AQ232" s="32"/>
      <c r="AR232" s="32"/>
      <c r="AS232" s="32"/>
      <c r="AT232" s="32"/>
      <c r="AU232" s="32"/>
      <c r="AV232" s="32"/>
      <c r="AW232" s="32"/>
      <c r="AX232" s="32"/>
      <c r="AY232" s="32"/>
      <c r="AZ232" s="32"/>
      <c r="BA232" s="32"/>
      <c r="BB232" s="32"/>
      <c r="BC232" s="32"/>
      <c r="BD232" s="32"/>
      <c r="BE232" s="32"/>
      <c r="BF232" s="32"/>
      <c r="BG232" s="32"/>
      <c r="BH232" s="32"/>
      <c r="BI232" s="32"/>
      <c r="BJ232" s="32"/>
      <c r="BK232" s="32"/>
      <c r="BL232" s="32"/>
      <c r="BM232" s="32"/>
      <c r="BN232" s="32"/>
      <c r="BO232" s="32"/>
      <c r="BP232" s="32"/>
      <c r="BQ232" s="32"/>
      <c r="BR232" s="32"/>
      <c r="BS232" s="32"/>
      <c r="BT232" s="32"/>
      <c r="BU232" s="32"/>
      <c r="BV232" s="32"/>
      <c r="BW232" s="32"/>
      <c r="BX232" s="32"/>
      <c r="BY232" s="32"/>
      <c r="BZ232" s="32"/>
      <c r="CA232" s="32"/>
      <c r="CB232" s="32"/>
      <c r="CC232" s="32"/>
      <c r="CD232" s="32"/>
      <c r="CE232" s="32"/>
      <c r="CF232" s="32"/>
      <c r="CG232" s="32"/>
      <c r="CH232" s="32"/>
      <c r="CI232" s="32"/>
      <c r="CJ232" s="32"/>
      <c r="CK232" s="32"/>
      <c r="CL232" s="32"/>
      <c r="CM232" s="32"/>
      <c r="CN232" s="32"/>
      <c r="CO232" s="32"/>
      <c r="CP232" s="32"/>
      <c r="CQ232" s="32"/>
      <c r="CR232" s="32"/>
      <c r="CS232" s="32"/>
      <c r="CT232" s="32"/>
      <c r="CU232" s="32"/>
      <c r="CV232" s="32"/>
      <c r="CW232" s="32"/>
      <c r="CX232" s="32"/>
      <c r="CY232" s="32"/>
      <c r="CZ232" s="32"/>
      <c r="DA232" s="32"/>
      <c r="DB232" s="32"/>
      <c r="DC232" s="32"/>
      <c r="DD232" s="32"/>
      <c r="DE232" s="32"/>
      <c r="DF232" s="32"/>
      <c r="DG232" s="32"/>
      <c r="DH232" s="32"/>
      <c r="DI232" s="32"/>
      <c r="DJ232" s="32"/>
      <c r="DK232" s="32"/>
      <c r="DL232" s="32"/>
      <c r="DM232" s="32"/>
      <c r="DN232" s="32"/>
      <c r="DO232" s="32"/>
      <c r="DP232" s="32"/>
      <c r="DQ232" s="32"/>
      <c r="DR232" s="32"/>
      <c r="DS232" s="32"/>
      <c r="DT232" s="32"/>
      <c r="DU232" s="32"/>
      <c r="DV232" s="32"/>
      <c r="DW232" s="32"/>
      <c r="DX232" s="32"/>
      <c r="DY232" s="32"/>
      <c r="DZ232" s="32"/>
      <c r="EA232" s="32"/>
      <c r="EB232" s="32"/>
      <c r="EC232" s="32"/>
      <c r="ED232" s="32"/>
      <c r="EE232" s="32"/>
      <c r="EF232" s="32"/>
      <c r="EG232" s="32"/>
      <c r="EH232" s="32"/>
      <c r="EI232" s="32"/>
      <c r="EJ232" s="32"/>
      <c r="EK232" s="32"/>
      <c r="EL232" s="32"/>
      <c r="EM232" s="32"/>
      <c r="EN232" s="32"/>
      <c r="EO232" s="32"/>
      <c r="EP232" s="32"/>
      <c r="EQ232" s="32"/>
      <c r="ER232" s="32"/>
      <c r="ES232" s="32"/>
      <c r="ET232" s="32"/>
      <c r="EU232" s="32"/>
      <c r="EV232" s="32"/>
      <c r="EW232" s="32"/>
      <c r="EX232" s="32"/>
      <c r="EY232" s="32"/>
      <c r="EZ232" s="32"/>
      <c r="FA232" s="32"/>
      <c r="FB232" s="32"/>
      <c r="FC232" s="32"/>
      <c r="FD232" s="32"/>
      <c r="FE232" s="32"/>
      <c r="FF232" s="32"/>
      <c r="FG232" s="32"/>
      <c r="FH232" s="32"/>
      <c r="FI232" s="32"/>
      <c r="FJ232" s="32"/>
      <c r="FK232" s="32"/>
      <c r="FL232" s="32"/>
      <c r="FM232" s="32"/>
      <c r="FN232" s="32"/>
      <c r="FO232" s="32"/>
      <c r="FP232" s="32"/>
      <c r="FQ232" s="32"/>
      <c r="FR232" s="32"/>
      <c r="FS232" s="32"/>
      <c r="FT232" s="32"/>
      <c r="FU232" s="32"/>
      <c r="FV232" s="32"/>
      <c r="FW232" s="32"/>
      <c r="FX232" s="32"/>
      <c r="FY232" s="32"/>
      <c r="FZ232" s="32"/>
      <c r="GA232" s="32"/>
      <c r="GB232" s="32"/>
      <c r="GC232" s="32"/>
      <c r="GD232" s="32"/>
      <c r="GE232" s="32"/>
      <c r="GF232" s="32"/>
      <c r="GG232" s="32"/>
      <c r="GH232" s="32"/>
      <c r="GI232" s="32"/>
      <c r="GJ232" s="32"/>
      <c r="GK232" s="32"/>
      <c r="GL232" s="32"/>
      <c r="GM232" s="32"/>
      <c r="GN232" s="32"/>
      <c r="GO232" s="32"/>
      <c r="GP232" s="32"/>
      <c r="GQ232" s="32"/>
      <c r="GR232" s="32"/>
      <c r="GS232" s="32"/>
      <c r="GT232" s="32"/>
      <c r="GU232" s="32"/>
      <c r="GV232" s="32"/>
      <c r="GW232" s="32"/>
      <c r="GX232" s="32"/>
      <c r="GY232" s="32"/>
      <c r="GZ232" s="32"/>
      <c r="HA232" s="32"/>
      <c r="HB232" s="32"/>
      <c r="HC232" s="32"/>
      <c r="HD232" s="32"/>
      <c r="HE232" s="32"/>
      <c r="HF232" s="32"/>
      <c r="HG232" s="32"/>
      <c r="HH232" s="32"/>
      <c r="HI232" s="32"/>
      <c r="HJ232" s="32"/>
      <c r="HK232" s="32"/>
      <c r="HL232" s="32"/>
      <c r="HM232" s="32"/>
      <c r="HN232" s="32"/>
      <c r="HO232" s="32"/>
      <c r="HP232" s="32"/>
      <c r="HQ232" s="32"/>
      <c r="HR232" s="32"/>
      <c r="HS232" s="32"/>
      <c r="HT232" s="32"/>
      <c r="HU232" s="32"/>
      <c r="HV232" s="32"/>
      <c r="HW232" s="32"/>
      <c r="HX232" s="32"/>
      <c r="HY232" s="32"/>
      <c r="HZ232" s="32"/>
      <c r="IA232" s="32"/>
      <c r="IB232" s="32"/>
      <c r="IC232" s="32"/>
      <c r="ID232" s="32"/>
      <c r="IE232" s="32"/>
      <c r="IF232" s="32"/>
      <c r="IG232" s="32"/>
      <c r="IH232" s="32"/>
      <c r="II232" s="32"/>
      <c r="IJ232" s="32"/>
      <c r="IK232" s="32"/>
      <c r="IL232" s="32"/>
      <c r="IM232" s="32"/>
      <c r="IN232" s="32"/>
      <c r="IO232" s="32"/>
      <c r="IP232" s="32"/>
      <c r="IQ232" s="32"/>
      <c r="IR232" s="32"/>
      <c r="IS232" s="32"/>
      <c r="IT232" s="32"/>
      <c r="IU232" s="32"/>
      <c r="IV232" s="32"/>
      <c r="IW232" s="32"/>
      <c r="IX232" s="32"/>
      <c r="IY232" s="32"/>
      <c r="IZ232" s="32"/>
      <c r="JA232" s="32"/>
      <c r="JB232" s="32"/>
    </row>
    <row r="233" spans="1:262" s="33" customFormat="1" ht="15" customHeight="1" x14ac:dyDescent="0.25">
      <c r="A233" s="50" t="s">
        <v>1254</v>
      </c>
      <c r="B233" s="62">
        <f ca="1">NOW()</f>
        <v>46234.416776157406</v>
      </c>
      <c r="C233" s="59"/>
      <c r="D233" s="59"/>
      <c r="E233" s="60"/>
      <c r="F233" s="57"/>
      <c r="G233" s="57"/>
      <c r="H233" s="59"/>
      <c r="I233" s="59"/>
      <c r="J233" s="93"/>
      <c r="K233" s="93"/>
      <c r="L233" s="93"/>
      <c r="M233" s="93"/>
      <c r="N233" s="93"/>
      <c r="O233" s="96"/>
      <c r="P233" s="96"/>
      <c r="Q233" s="96"/>
      <c r="R233" s="96"/>
      <c r="S233" s="93"/>
      <c r="T233" s="83"/>
      <c r="U233" s="32"/>
      <c r="V233" s="32"/>
      <c r="W233" s="32"/>
      <c r="X233" s="32"/>
      <c r="Y233" s="32"/>
      <c r="Z233" s="32"/>
      <c r="AA233" s="32"/>
      <c r="AB233" s="32"/>
      <c r="AC233" s="32"/>
      <c r="AD233" s="32"/>
      <c r="AE233" s="32"/>
      <c r="AF233" s="32"/>
      <c r="AG233" s="32"/>
      <c r="AH233" s="32"/>
      <c r="AI233" s="32"/>
      <c r="AJ233" s="32"/>
      <c r="AK233" s="32"/>
      <c r="AL233" s="32"/>
      <c r="AM233" s="32"/>
      <c r="AN233" s="32"/>
      <c r="AO233" s="32"/>
      <c r="AP233" s="32"/>
      <c r="AQ233" s="32"/>
      <c r="AR233" s="32"/>
      <c r="AS233" s="32"/>
      <c r="AT233" s="32"/>
      <c r="AU233" s="32"/>
      <c r="AV233" s="32"/>
      <c r="AW233" s="32"/>
      <c r="AX233" s="32"/>
      <c r="AY233" s="32"/>
      <c r="AZ233" s="32"/>
      <c r="BA233" s="32"/>
      <c r="BB233" s="32"/>
      <c r="BC233" s="32"/>
      <c r="BD233" s="32"/>
      <c r="BE233" s="32"/>
      <c r="BF233" s="32"/>
      <c r="BG233" s="32"/>
      <c r="BH233" s="32"/>
      <c r="BI233" s="32"/>
      <c r="BJ233" s="32"/>
      <c r="BK233" s="32"/>
      <c r="BL233" s="32"/>
      <c r="BM233" s="32"/>
      <c r="BN233" s="32"/>
      <c r="BO233" s="32"/>
      <c r="BP233" s="32"/>
      <c r="BQ233" s="32"/>
      <c r="BR233" s="32"/>
      <c r="BS233" s="32"/>
      <c r="BT233" s="32"/>
      <c r="BU233" s="32"/>
      <c r="BV233" s="32"/>
      <c r="BW233" s="32"/>
      <c r="BX233" s="32"/>
      <c r="BY233" s="32"/>
      <c r="BZ233" s="32"/>
      <c r="CA233" s="32"/>
      <c r="CB233" s="32"/>
      <c r="CC233" s="32"/>
      <c r="CD233" s="32"/>
      <c r="CE233" s="32"/>
      <c r="CF233" s="32"/>
      <c r="CG233" s="32"/>
      <c r="CH233" s="32"/>
      <c r="CI233" s="32"/>
      <c r="CJ233" s="32"/>
      <c r="CK233" s="32"/>
      <c r="CL233" s="32"/>
      <c r="CM233" s="32"/>
      <c r="CN233" s="32"/>
      <c r="CO233" s="32"/>
      <c r="CP233" s="32"/>
      <c r="CQ233" s="32"/>
      <c r="CR233" s="32"/>
      <c r="CS233" s="32"/>
      <c r="CT233" s="32"/>
      <c r="CU233" s="32"/>
      <c r="CV233" s="32"/>
      <c r="CW233" s="32"/>
      <c r="CX233" s="32"/>
      <c r="CY233" s="32"/>
      <c r="CZ233" s="32"/>
      <c r="DA233" s="32"/>
      <c r="DB233" s="32"/>
      <c r="DC233" s="32"/>
      <c r="DD233" s="32"/>
      <c r="DE233" s="32"/>
      <c r="DF233" s="32"/>
      <c r="DG233" s="32"/>
      <c r="DH233" s="32"/>
      <c r="DI233" s="32"/>
      <c r="DJ233" s="32"/>
      <c r="DK233" s="32"/>
      <c r="DL233" s="32"/>
      <c r="DM233" s="32"/>
      <c r="DN233" s="32"/>
      <c r="DO233" s="32"/>
      <c r="DP233" s="32"/>
      <c r="DQ233" s="32"/>
      <c r="DR233" s="32"/>
      <c r="DS233" s="32"/>
      <c r="DT233" s="32"/>
      <c r="DU233" s="32"/>
      <c r="DV233" s="32"/>
      <c r="DW233" s="32"/>
      <c r="DX233" s="32"/>
      <c r="DY233" s="32"/>
      <c r="DZ233" s="32"/>
      <c r="EA233" s="32"/>
      <c r="EB233" s="32"/>
      <c r="EC233" s="32"/>
      <c r="ED233" s="32"/>
      <c r="EE233" s="32"/>
      <c r="EF233" s="32"/>
      <c r="EG233" s="32"/>
      <c r="EH233" s="32"/>
      <c r="EI233" s="32"/>
      <c r="EJ233" s="32"/>
      <c r="EK233" s="32"/>
      <c r="EL233" s="32"/>
      <c r="EM233" s="32"/>
      <c r="EN233" s="32"/>
      <c r="EO233" s="32"/>
      <c r="EP233" s="32"/>
      <c r="EQ233" s="32"/>
      <c r="ER233" s="32"/>
      <c r="ES233" s="32"/>
      <c r="ET233" s="32"/>
      <c r="EU233" s="32"/>
      <c r="EV233" s="32"/>
      <c r="EW233" s="32"/>
      <c r="EX233" s="32"/>
      <c r="EY233" s="32"/>
      <c r="EZ233" s="32"/>
      <c r="FA233" s="32"/>
      <c r="FB233" s="32"/>
      <c r="FC233" s="32"/>
      <c r="FD233" s="32"/>
      <c r="FE233" s="32"/>
      <c r="FF233" s="32"/>
      <c r="FG233" s="32"/>
      <c r="FH233" s="32"/>
      <c r="FI233" s="32"/>
      <c r="FJ233" s="32"/>
      <c r="FK233" s="32"/>
      <c r="FL233" s="32"/>
      <c r="FM233" s="32"/>
      <c r="FN233" s="32"/>
      <c r="FO233" s="32"/>
      <c r="FP233" s="32"/>
      <c r="FQ233" s="32"/>
      <c r="FR233" s="32"/>
      <c r="FS233" s="32"/>
      <c r="FT233" s="32"/>
      <c r="FU233" s="32"/>
      <c r="FV233" s="32"/>
      <c r="FW233" s="32"/>
      <c r="FX233" s="32"/>
      <c r="FY233" s="32"/>
      <c r="FZ233" s="32"/>
      <c r="GA233" s="32"/>
      <c r="GB233" s="32"/>
      <c r="GC233" s="32"/>
      <c r="GD233" s="32"/>
      <c r="GE233" s="32"/>
      <c r="GF233" s="32"/>
      <c r="GG233" s="32"/>
      <c r="GH233" s="32"/>
      <c r="GI233" s="32"/>
      <c r="GJ233" s="32"/>
      <c r="GK233" s="32"/>
      <c r="GL233" s="32"/>
      <c r="GM233" s="32"/>
      <c r="GN233" s="32"/>
      <c r="GO233" s="32"/>
      <c r="GP233" s="32"/>
      <c r="GQ233" s="32"/>
      <c r="GR233" s="32"/>
      <c r="GS233" s="32"/>
      <c r="GT233" s="32"/>
      <c r="GU233" s="32"/>
      <c r="GV233" s="32"/>
      <c r="GW233" s="32"/>
      <c r="GX233" s="32"/>
      <c r="GY233" s="32"/>
      <c r="GZ233" s="32"/>
      <c r="HA233" s="32"/>
      <c r="HB233" s="32"/>
      <c r="HC233" s="32"/>
      <c r="HD233" s="32"/>
      <c r="HE233" s="32"/>
      <c r="HF233" s="32"/>
      <c r="HG233" s="32"/>
      <c r="HH233" s="32"/>
      <c r="HI233" s="32"/>
      <c r="HJ233" s="32"/>
      <c r="HK233" s="32"/>
      <c r="HL233" s="32"/>
      <c r="HM233" s="32"/>
      <c r="HN233" s="32"/>
      <c r="HO233" s="32"/>
      <c r="HP233" s="32"/>
      <c r="HQ233" s="32"/>
      <c r="HR233" s="32"/>
      <c r="HS233" s="32"/>
      <c r="HT233" s="32"/>
      <c r="HU233" s="32"/>
      <c r="HV233" s="32"/>
      <c r="HW233" s="32"/>
      <c r="HX233" s="32"/>
      <c r="HY233" s="32"/>
      <c r="HZ233" s="32"/>
      <c r="IA233" s="32"/>
      <c r="IB233" s="32"/>
      <c r="IC233" s="32"/>
      <c r="ID233" s="32"/>
      <c r="IE233" s="32"/>
      <c r="IF233" s="32"/>
      <c r="IG233" s="32"/>
      <c r="IH233" s="32"/>
      <c r="II233" s="32"/>
      <c r="IJ233" s="32"/>
      <c r="IK233" s="32"/>
      <c r="IL233" s="32"/>
      <c r="IM233" s="32"/>
      <c r="IN233" s="32"/>
      <c r="IO233" s="32"/>
      <c r="IP233" s="32"/>
      <c r="IQ233" s="32"/>
      <c r="IR233" s="32"/>
      <c r="IS233" s="32"/>
      <c r="IT233" s="32"/>
      <c r="IU233" s="32"/>
      <c r="IV233" s="32"/>
      <c r="IW233" s="32"/>
      <c r="IX233" s="32"/>
      <c r="IY233" s="32"/>
      <c r="IZ233" s="32"/>
      <c r="JA233" s="32"/>
      <c r="JB233" s="32"/>
    </row>
    <row r="234" spans="1:262" s="33" customFormat="1" ht="15" customHeight="1" x14ac:dyDescent="0.25">
      <c r="A234" s="115" t="s">
        <v>1255</v>
      </c>
      <c r="B234" s="115"/>
      <c r="C234" s="110"/>
      <c r="D234" s="110"/>
      <c r="E234" s="114"/>
      <c r="F234" s="109"/>
      <c r="G234" s="109"/>
      <c r="H234" s="110"/>
      <c r="I234" s="110"/>
      <c r="J234" s="93"/>
      <c r="K234" s="93"/>
      <c r="L234" s="93"/>
      <c r="M234" s="93"/>
      <c r="N234" s="93"/>
      <c r="O234" s="96"/>
      <c r="P234" s="96"/>
      <c r="Q234" s="96"/>
      <c r="R234" s="96"/>
      <c r="S234" s="93"/>
      <c r="T234" s="83"/>
      <c r="U234" s="34"/>
      <c r="V234" s="32"/>
      <c r="W234" s="32"/>
      <c r="X234" s="32"/>
      <c r="Y234" s="32"/>
      <c r="Z234" s="32"/>
      <c r="AA234" s="32"/>
      <c r="AB234" s="32"/>
      <c r="AC234" s="32"/>
      <c r="AD234" s="32"/>
      <c r="AE234" s="32"/>
      <c r="AF234" s="32"/>
      <c r="AG234" s="32"/>
      <c r="AH234" s="32"/>
      <c r="AI234" s="32"/>
      <c r="AJ234" s="32"/>
      <c r="AK234" s="32"/>
      <c r="AL234" s="32"/>
      <c r="AM234" s="32"/>
      <c r="AN234" s="32"/>
      <c r="AO234" s="32"/>
      <c r="AP234" s="32"/>
      <c r="AQ234" s="32"/>
      <c r="AR234" s="32"/>
      <c r="AS234" s="32"/>
      <c r="AT234" s="32"/>
      <c r="AU234" s="32"/>
      <c r="AV234" s="32"/>
      <c r="AW234" s="32"/>
      <c r="AX234" s="32"/>
      <c r="AY234" s="32"/>
      <c r="AZ234" s="32"/>
      <c r="BA234" s="32"/>
      <c r="BB234" s="32"/>
      <c r="BC234" s="32"/>
      <c r="BD234" s="32"/>
      <c r="BE234" s="32"/>
      <c r="BF234" s="32"/>
      <c r="BG234" s="32"/>
      <c r="BH234" s="32"/>
      <c r="BI234" s="32"/>
      <c r="BJ234" s="32"/>
      <c r="BK234" s="32"/>
      <c r="BL234" s="32"/>
      <c r="BM234" s="32"/>
      <c r="BN234" s="32"/>
      <c r="BO234" s="32"/>
      <c r="BP234" s="32"/>
      <c r="BQ234" s="32"/>
      <c r="BR234" s="32"/>
      <c r="BS234" s="32"/>
      <c r="BT234" s="32"/>
      <c r="BU234" s="32"/>
      <c r="BV234" s="32"/>
      <c r="BW234" s="32"/>
      <c r="BX234" s="32"/>
      <c r="BY234" s="32"/>
      <c r="BZ234" s="32"/>
      <c r="CA234" s="32"/>
      <c r="CB234" s="32"/>
      <c r="CC234" s="32"/>
      <c r="CD234" s="32"/>
      <c r="CE234" s="32"/>
      <c r="CF234" s="32"/>
      <c r="CG234" s="32"/>
      <c r="CH234" s="32"/>
      <c r="CI234" s="32"/>
      <c r="CJ234" s="32"/>
      <c r="CK234" s="32"/>
      <c r="CL234" s="32"/>
      <c r="CM234" s="32"/>
      <c r="CN234" s="32"/>
      <c r="CO234" s="32"/>
      <c r="CP234" s="32"/>
      <c r="CQ234" s="32"/>
      <c r="CR234" s="32"/>
      <c r="CS234" s="32"/>
      <c r="CT234" s="32"/>
      <c r="CU234" s="32"/>
      <c r="CV234" s="32"/>
      <c r="CW234" s="32"/>
      <c r="CX234" s="32"/>
      <c r="CY234" s="32"/>
      <c r="CZ234" s="32"/>
      <c r="DA234" s="32"/>
      <c r="DB234" s="32"/>
      <c r="DC234" s="32"/>
      <c r="DD234" s="32"/>
      <c r="DE234" s="32"/>
      <c r="DF234" s="32"/>
      <c r="DG234" s="32"/>
      <c r="DH234" s="32"/>
      <c r="DI234" s="32"/>
      <c r="DJ234" s="32"/>
      <c r="DK234" s="32"/>
      <c r="DL234" s="32"/>
      <c r="DM234" s="32"/>
      <c r="DN234" s="32"/>
      <c r="DO234" s="32"/>
      <c r="DP234" s="32"/>
      <c r="DQ234" s="32"/>
      <c r="DR234" s="32"/>
      <c r="DS234" s="32"/>
      <c r="DT234" s="32"/>
      <c r="DU234" s="32"/>
      <c r="DV234" s="32"/>
      <c r="DW234" s="32"/>
      <c r="DX234" s="32"/>
      <c r="DY234" s="32"/>
      <c r="DZ234" s="32"/>
      <c r="EA234" s="32"/>
      <c r="EB234" s="32"/>
      <c r="EC234" s="32"/>
      <c r="ED234" s="32"/>
      <c r="EE234" s="32"/>
      <c r="EF234" s="32"/>
      <c r="EG234" s="32"/>
      <c r="EH234" s="32"/>
      <c r="EI234" s="32"/>
      <c r="EJ234" s="32"/>
      <c r="EK234" s="32"/>
      <c r="EL234" s="32"/>
      <c r="EM234" s="32"/>
      <c r="EN234" s="32"/>
      <c r="EO234" s="32"/>
      <c r="EP234" s="32"/>
      <c r="EQ234" s="32"/>
      <c r="ER234" s="32"/>
      <c r="ES234" s="32"/>
      <c r="ET234" s="32"/>
      <c r="EU234" s="32"/>
      <c r="EV234" s="32"/>
      <c r="EW234" s="32"/>
      <c r="EX234" s="32"/>
      <c r="EY234" s="32"/>
      <c r="EZ234" s="32"/>
      <c r="FA234" s="32"/>
      <c r="FB234" s="32"/>
      <c r="FC234" s="32"/>
      <c r="FD234" s="32"/>
      <c r="FE234" s="32"/>
      <c r="FF234" s="32"/>
      <c r="FG234" s="32"/>
      <c r="FH234" s="32"/>
      <c r="FI234" s="32"/>
      <c r="FJ234" s="32"/>
      <c r="FK234" s="32"/>
      <c r="FL234" s="32"/>
      <c r="FM234" s="32"/>
      <c r="FN234" s="32"/>
      <c r="FO234" s="32"/>
      <c r="FP234" s="32"/>
      <c r="FQ234" s="32"/>
      <c r="FR234" s="32"/>
      <c r="FS234" s="32"/>
      <c r="FT234" s="32"/>
      <c r="FU234" s="32"/>
      <c r="FV234" s="32"/>
      <c r="FW234" s="32"/>
      <c r="FX234" s="32"/>
      <c r="FY234" s="32"/>
      <c r="FZ234" s="32"/>
      <c r="GA234" s="32"/>
      <c r="GB234" s="32"/>
      <c r="GC234" s="32"/>
      <c r="GD234" s="32"/>
      <c r="GE234" s="32"/>
      <c r="GF234" s="32"/>
      <c r="GG234" s="32"/>
      <c r="GH234" s="32"/>
      <c r="GI234" s="32"/>
      <c r="GJ234" s="32"/>
      <c r="GK234" s="32"/>
      <c r="GL234" s="32"/>
      <c r="GM234" s="32"/>
      <c r="GN234" s="32"/>
      <c r="GO234" s="32"/>
      <c r="GP234" s="32"/>
      <c r="GQ234" s="32"/>
      <c r="GR234" s="32"/>
      <c r="GS234" s="32"/>
      <c r="GT234" s="32"/>
      <c r="GU234" s="32"/>
      <c r="GV234" s="32"/>
      <c r="GW234" s="32"/>
      <c r="GX234" s="32"/>
      <c r="GY234" s="32"/>
      <c r="GZ234" s="32"/>
      <c r="HA234" s="32"/>
      <c r="HB234" s="32"/>
      <c r="HC234" s="32"/>
      <c r="HD234" s="32"/>
      <c r="HE234" s="32"/>
      <c r="HF234" s="32"/>
      <c r="HG234" s="32"/>
      <c r="HH234" s="32"/>
      <c r="HI234" s="32"/>
      <c r="HJ234" s="32"/>
      <c r="HK234" s="32"/>
      <c r="HL234" s="32"/>
      <c r="HM234" s="32"/>
      <c r="HN234" s="32"/>
      <c r="HO234" s="32"/>
      <c r="HP234" s="32"/>
      <c r="HQ234" s="32"/>
      <c r="HR234" s="32"/>
      <c r="HS234" s="32"/>
      <c r="HT234" s="32"/>
      <c r="HU234" s="32"/>
      <c r="HV234" s="32"/>
      <c r="HW234" s="32"/>
      <c r="HX234" s="32"/>
      <c r="HY234" s="32"/>
      <c r="HZ234" s="32"/>
      <c r="IA234" s="32"/>
      <c r="IB234" s="32"/>
      <c r="IC234" s="32"/>
      <c r="ID234" s="32"/>
      <c r="IE234" s="32"/>
      <c r="IF234" s="32"/>
      <c r="IG234" s="32"/>
      <c r="IH234" s="32"/>
      <c r="II234" s="32"/>
      <c r="IJ234" s="32"/>
      <c r="IK234" s="32"/>
      <c r="IL234" s="32"/>
      <c r="IM234" s="32"/>
      <c r="IN234" s="32"/>
      <c r="IO234" s="32"/>
      <c r="IP234" s="32"/>
      <c r="IQ234" s="32"/>
      <c r="IR234" s="32"/>
      <c r="IS234" s="32"/>
      <c r="IT234" s="32"/>
      <c r="IU234" s="32"/>
      <c r="IV234" s="32"/>
      <c r="IW234" s="32"/>
      <c r="IX234" s="32"/>
      <c r="IY234" s="32"/>
      <c r="IZ234" s="32"/>
      <c r="JA234" s="32"/>
      <c r="JB234" s="32"/>
    </row>
    <row r="235" spans="1:262" s="33" customFormat="1" x14ac:dyDescent="0.25">
      <c r="A235" s="48"/>
      <c r="B235" s="93"/>
      <c r="C235" s="93"/>
      <c r="D235" s="93"/>
      <c r="E235" s="94"/>
      <c r="F235" s="95"/>
      <c r="G235" s="95"/>
      <c r="H235" s="93"/>
      <c r="I235" s="93"/>
      <c r="J235" s="93"/>
      <c r="K235" s="93"/>
      <c r="L235" s="93"/>
      <c r="M235" s="93"/>
      <c r="N235" s="93"/>
      <c r="O235" s="96"/>
      <c r="P235" s="96"/>
      <c r="Q235" s="96"/>
      <c r="R235" s="96"/>
      <c r="S235" s="93"/>
      <c r="T235" s="83"/>
      <c r="U235" s="32"/>
      <c r="V235" s="32"/>
      <c r="W235" s="32"/>
      <c r="X235" s="32"/>
      <c r="Y235" s="32"/>
      <c r="Z235" s="32"/>
      <c r="AA235" s="32"/>
      <c r="AB235" s="32"/>
      <c r="AC235" s="32"/>
      <c r="AD235" s="32"/>
      <c r="AE235" s="32"/>
      <c r="AF235" s="32"/>
      <c r="AG235" s="32"/>
      <c r="AH235" s="32"/>
      <c r="AI235" s="32"/>
      <c r="AJ235" s="32"/>
      <c r="AK235" s="32"/>
      <c r="AL235" s="32"/>
      <c r="AM235" s="32"/>
      <c r="AN235" s="32"/>
      <c r="AO235" s="32"/>
      <c r="AP235" s="32"/>
      <c r="AQ235" s="32"/>
      <c r="AR235" s="32"/>
      <c r="AS235" s="32"/>
      <c r="AT235" s="32"/>
      <c r="AU235" s="32"/>
      <c r="AV235" s="32"/>
      <c r="AW235" s="32"/>
      <c r="AX235" s="32"/>
      <c r="AY235" s="32"/>
      <c r="AZ235" s="32"/>
      <c r="BA235" s="32"/>
      <c r="BB235" s="32"/>
      <c r="BC235" s="32"/>
      <c r="BD235" s="32"/>
      <c r="BE235" s="32"/>
      <c r="BF235" s="32"/>
      <c r="BG235" s="32"/>
      <c r="BH235" s="32"/>
      <c r="BI235" s="32"/>
      <c r="BJ235" s="32"/>
      <c r="BK235" s="32"/>
      <c r="BL235" s="32"/>
      <c r="BM235" s="32"/>
      <c r="BN235" s="32"/>
      <c r="BO235" s="32"/>
      <c r="BP235" s="32"/>
      <c r="BQ235" s="32"/>
      <c r="BR235" s="32"/>
      <c r="BS235" s="32"/>
      <c r="BT235" s="32"/>
      <c r="BU235" s="32"/>
      <c r="BV235" s="32"/>
      <c r="BW235" s="32"/>
      <c r="BX235" s="32"/>
      <c r="BY235" s="32"/>
      <c r="BZ235" s="32"/>
      <c r="CA235" s="32"/>
      <c r="CB235" s="32"/>
      <c r="CC235" s="32"/>
      <c r="CD235" s="32"/>
      <c r="CE235" s="32"/>
      <c r="CF235" s="32"/>
      <c r="CG235" s="32"/>
      <c r="CH235" s="32"/>
      <c r="CI235" s="32"/>
      <c r="CJ235" s="32"/>
      <c r="CK235" s="32"/>
      <c r="CL235" s="32"/>
      <c r="CM235" s="32"/>
      <c r="CN235" s="32"/>
      <c r="CO235" s="32"/>
      <c r="CP235" s="32"/>
      <c r="CQ235" s="32"/>
      <c r="CR235" s="32"/>
      <c r="CS235" s="32"/>
      <c r="CT235" s="32"/>
      <c r="CU235" s="32"/>
      <c r="CV235" s="32"/>
      <c r="CW235" s="32"/>
      <c r="CX235" s="32"/>
      <c r="CY235" s="32"/>
      <c r="CZ235" s="32"/>
      <c r="DA235" s="32"/>
      <c r="DB235" s="32"/>
      <c r="DC235" s="32"/>
      <c r="DD235" s="32"/>
      <c r="DE235" s="32"/>
      <c r="DF235" s="32"/>
      <c r="DG235" s="32"/>
      <c r="DH235" s="32"/>
      <c r="DI235" s="32"/>
      <c r="DJ235" s="32"/>
      <c r="DK235" s="32"/>
      <c r="DL235" s="32"/>
      <c r="DM235" s="32"/>
      <c r="DN235" s="32"/>
      <c r="DO235" s="32"/>
      <c r="DP235" s="32"/>
      <c r="DQ235" s="32"/>
      <c r="DR235" s="32"/>
      <c r="DS235" s="32"/>
      <c r="DT235" s="32"/>
      <c r="DU235" s="32"/>
      <c r="DV235" s="32"/>
      <c r="DW235" s="32"/>
      <c r="DX235" s="32"/>
      <c r="DY235" s="32"/>
      <c r="DZ235" s="32"/>
      <c r="EA235" s="32"/>
      <c r="EB235" s="32"/>
      <c r="EC235" s="32"/>
      <c r="ED235" s="32"/>
      <c r="EE235" s="32"/>
      <c r="EF235" s="32"/>
      <c r="EG235" s="32"/>
      <c r="EH235" s="32"/>
      <c r="EI235" s="32"/>
      <c r="EJ235" s="32"/>
      <c r="EK235" s="32"/>
      <c r="EL235" s="32"/>
      <c r="EM235" s="32"/>
      <c r="EN235" s="32"/>
      <c r="EO235" s="32"/>
      <c r="EP235" s="32"/>
      <c r="EQ235" s="32"/>
      <c r="ER235" s="32"/>
      <c r="ES235" s="32"/>
      <c r="ET235" s="32"/>
      <c r="EU235" s="32"/>
      <c r="EV235" s="32"/>
      <c r="EW235" s="32"/>
      <c r="EX235" s="32"/>
      <c r="EY235" s="32"/>
      <c r="EZ235" s="32"/>
      <c r="FA235" s="32"/>
      <c r="FB235" s="32"/>
      <c r="FC235" s="32"/>
      <c r="FD235" s="32"/>
      <c r="FE235" s="32"/>
      <c r="FF235" s="32"/>
      <c r="FG235" s="32"/>
      <c r="FH235" s="32"/>
      <c r="FI235" s="32"/>
      <c r="FJ235" s="32"/>
      <c r="FK235" s="32"/>
      <c r="FL235" s="32"/>
      <c r="FM235" s="32"/>
      <c r="FN235" s="32"/>
      <c r="FO235" s="32"/>
      <c r="FP235" s="32"/>
      <c r="FQ235" s="32"/>
      <c r="FR235" s="32"/>
      <c r="FS235" s="32"/>
      <c r="FT235" s="32"/>
      <c r="FU235" s="32"/>
      <c r="FV235" s="32"/>
      <c r="FW235" s="32"/>
      <c r="FX235" s="32"/>
      <c r="FY235" s="32"/>
      <c r="FZ235" s="32"/>
      <c r="GA235" s="32"/>
      <c r="GB235" s="32"/>
      <c r="GC235" s="32"/>
      <c r="GD235" s="32"/>
      <c r="GE235" s="32"/>
      <c r="GF235" s="32"/>
      <c r="GG235" s="32"/>
      <c r="GH235" s="32"/>
      <c r="GI235" s="32"/>
      <c r="GJ235" s="32"/>
      <c r="GK235" s="32"/>
      <c r="GL235" s="32"/>
      <c r="GM235" s="32"/>
      <c r="GN235" s="32"/>
      <c r="GO235" s="32"/>
      <c r="GP235" s="32"/>
      <c r="GQ235" s="32"/>
      <c r="GR235" s="32"/>
      <c r="GS235" s="32"/>
      <c r="GT235" s="32"/>
      <c r="GU235" s="32"/>
      <c r="GV235" s="32"/>
      <c r="GW235" s="32"/>
      <c r="GX235" s="32"/>
      <c r="GY235" s="32"/>
      <c r="GZ235" s="32"/>
      <c r="HA235" s="32"/>
      <c r="HB235" s="32"/>
      <c r="HC235" s="32"/>
      <c r="HD235" s="32"/>
      <c r="HE235" s="32"/>
      <c r="HF235" s="32"/>
      <c r="HG235" s="32"/>
      <c r="HH235" s="32"/>
      <c r="HI235" s="32"/>
      <c r="HJ235" s="32"/>
      <c r="HK235" s="32"/>
      <c r="HL235" s="32"/>
      <c r="HM235" s="32"/>
      <c r="HN235" s="32"/>
      <c r="HO235" s="32"/>
      <c r="HP235" s="32"/>
      <c r="HQ235" s="32"/>
      <c r="HR235" s="32"/>
      <c r="HS235" s="32"/>
      <c r="HT235" s="32"/>
      <c r="HU235" s="32"/>
      <c r="HV235" s="32"/>
      <c r="HW235" s="32"/>
      <c r="HX235" s="32"/>
      <c r="HY235" s="32"/>
      <c r="HZ235" s="32"/>
      <c r="IA235" s="32"/>
      <c r="IB235" s="32"/>
      <c r="IC235" s="32"/>
      <c r="ID235" s="32"/>
      <c r="IE235" s="32"/>
      <c r="IF235" s="32"/>
      <c r="IG235" s="32"/>
      <c r="IH235" s="32"/>
      <c r="II235" s="32"/>
      <c r="IJ235" s="32"/>
      <c r="IK235" s="32"/>
      <c r="IL235" s="32"/>
      <c r="IM235" s="32"/>
      <c r="IN235" s="32"/>
      <c r="IO235" s="32"/>
      <c r="IP235" s="32"/>
      <c r="IQ235" s="32"/>
      <c r="IR235" s="32"/>
      <c r="IS235" s="32"/>
      <c r="IT235" s="32"/>
      <c r="IU235" s="32"/>
      <c r="IV235" s="32"/>
      <c r="IW235" s="32"/>
      <c r="IX235" s="32"/>
      <c r="IY235" s="32"/>
      <c r="IZ235" s="32"/>
      <c r="JA235" s="32"/>
      <c r="JB235" s="32"/>
    </row>
    <row r="236" spans="1:262" s="33" customFormat="1" x14ac:dyDescent="0.25">
      <c r="A236" s="48"/>
      <c r="B236" s="93"/>
      <c r="C236" s="93"/>
      <c r="D236" s="93"/>
      <c r="E236" s="94"/>
      <c r="F236" s="95"/>
      <c r="G236" s="95"/>
      <c r="H236" s="93"/>
      <c r="I236" s="93"/>
      <c r="J236" s="93"/>
      <c r="K236" s="93"/>
      <c r="L236" s="93"/>
      <c r="M236" s="93"/>
      <c r="N236" s="93"/>
      <c r="O236" s="96"/>
      <c r="P236" s="96"/>
      <c r="Q236" s="96"/>
      <c r="R236" s="96"/>
      <c r="S236" s="93"/>
      <c r="T236" s="101"/>
      <c r="U236" s="32"/>
      <c r="V236" s="32"/>
      <c r="W236" s="32"/>
      <c r="X236" s="32"/>
      <c r="Y236" s="32"/>
      <c r="Z236" s="32"/>
      <c r="AA236" s="32"/>
      <c r="AB236" s="32"/>
      <c r="AC236" s="32"/>
      <c r="AD236" s="32"/>
      <c r="AE236" s="32"/>
      <c r="AF236" s="32"/>
      <c r="AG236" s="32"/>
      <c r="AH236" s="32"/>
      <c r="AI236" s="32"/>
      <c r="AJ236" s="32"/>
      <c r="AK236" s="32"/>
      <c r="AL236" s="32"/>
      <c r="AM236" s="32"/>
      <c r="AN236" s="32"/>
      <c r="AO236" s="32"/>
      <c r="AP236" s="32"/>
      <c r="AQ236" s="32"/>
      <c r="AR236" s="32"/>
      <c r="AS236" s="32"/>
      <c r="AT236" s="32"/>
      <c r="AU236" s="32"/>
      <c r="AV236" s="32"/>
      <c r="AW236" s="32"/>
      <c r="AX236" s="32"/>
      <c r="AY236" s="32"/>
      <c r="AZ236" s="32"/>
      <c r="BA236" s="32"/>
      <c r="BB236" s="32"/>
      <c r="BC236" s="32"/>
      <c r="BD236" s="32"/>
      <c r="BE236" s="32"/>
      <c r="BF236" s="32"/>
      <c r="BG236" s="32"/>
      <c r="BH236" s="32"/>
      <c r="BI236" s="32"/>
      <c r="BJ236" s="32"/>
      <c r="BK236" s="32"/>
      <c r="BL236" s="32"/>
      <c r="BM236" s="32"/>
      <c r="BN236" s="32"/>
      <c r="BO236" s="32"/>
      <c r="BP236" s="32"/>
      <c r="BQ236" s="32"/>
      <c r="BR236" s="32"/>
      <c r="BS236" s="32"/>
      <c r="BT236" s="32"/>
      <c r="BU236" s="32"/>
      <c r="BV236" s="32"/>
      <c r="BW236" s="32"/>
      <c r="BX236" s="32"/>
      <c r="BY236" s="32"/>
      <c r="BZ236" s="32"/>
      <c r="CA236" s="32"/>
      <c r="CB236" s="32"/>
      <c r="CC236" s="32"/>
      <c r="CD236" s="32"/>
      <c r="CE236" s="32"/>
      <c r="CF236" s="32"/>
      <c r="CG236" s="32"/>
      <c r="CH236" s="32"/>
      <c r="CI236" s="32"/>
      <c r="CJ236" s="32"/>
      <c r="CK236" s="32"/>
      <c r="CL236" s="32"/>
      <c r="CM236" s="32"/>
      <c r="CN236" s="32"/>
      <c r="CO236" s="32"/>
      <c r="CP236" s="32"/>
      <c r="CQ236" s="32"/>
      <c r="CR236" s="32"/>
      <c r="CS236" s="32"/>
      <c r="CT236" s="32"/>
      <c r="CU236" s="32"/>
      <c r="CV236" s="32"/>
      <c r="CW236" s="32"/>
      <c r="CX236" s="32"/>
      <c r="CY236" s="32"/>
      <c r="CZ236" s="32"/>
      <c r="DA236" s="32"/>
      <c r="DB236" s="32"/>
      <c r="DC236" s="32"/>
      <c r="DD236" s="32"/>
      <c r="DE236" s="32"/>
      <c r="DF236" s="32"/>
      <c r="DG236" s="32"/>
      <c r="DH236" s="32"/>
      <c r="DI236" s="32"/>
      <c r="DJ236" s="32"/>
      <c r="DK236" s="32"/>
      <c r="DL236" s="32"/>
      <c r="DM236" s="32"/>
      <c r="DN236" s="32"/>
      <c r="DO236" s="32"/>
      <c r="DP236" s="32"/>
      <c r="DQ236" s="32"/>
      <c r="DR236" s="32"/>
      <c r="DS236" s="32"/>
      <c r="DT236" s="32"/>
      <c r="DU236" s="32"/>
      <c r="DV236" s="32"/>
      <c r="DW236" s="32"/>
      <c r="DX236" s="32"/>
      <c r="DY236" s="32"/>
      <c r="DZ236" s="32"/>
      <c r="EA236" s="32"/>
      <c r="EB236" s="32"/>
      <c r="EC236" s="32"/>
      <c r="ED236" s="32"/>
      <c r="EE236" s="32"/>
      <c r="EF236" s="32"/>
      <c r="EG236" s="32"/>
      <c r="EH236" s="32"/>
      <c r="EI236" s="32"/>
      <c r="EJ236" s="32"/>
      <c r="EK236" s="32"/>
      <c r="EL236" s="32"/>
      <c r="EM236" s="32"/>
      <c r="EN236" s="32"/>
      <c r="EO236" s="32"/>
      <c r="EP236" s="32"/>
      <c r="EQ236" s="32"/>
      <c r="ER236" s="32"/>
      <c r="ES236" s="32"/>
      <c r="ET236" s="32"/>
      <c r="EU236" s="32"/>
      <c r="EV236" s="32"/>
      <c r="EW236" s="32"/>
      <c r="EX236" s="32"/>
      <c r="EY236" s="32"/>
      <c r="EZ236" s="32"/>
      <c r="FA236" s="32"/>
      <c r="FB236" s="32"/>
      <c r="FC236" s="32"/>
      <c r="FD236" s="32"/>
      <c r="FE236" s="32"/>
      <c r="FF236" s="32"/>
      <c r="FG236" s="32"/>
      <c r="FH236" s="32"/>
      <c r="FI236" s="32"/>
      <c r="FJ236" s="32"/>
      <c r="FK236" s="32"/>
      <c r="FL236" s="32"/>
      <c r="FM236" s="32"/>
      <c r="FN236" s="32"/>
      <c r="FO236" s="32"/>
      <c r="FP236" s="32"/>
      <c r="FQ236" s="32"/>
      <c r="FR236" s="32"/>
      <c r="FS236" s="32"/>
      <c r="FT236" s="32"/>
      <c r="FU236" s="32"/>
      <c r="FV236" s="32"/>
      <c r="FW236" s="32"/>
      <c r="FX236" s="32"/>
      <c r="FY236" s="32"/>
      <c r="FZ236" s="32"/>
      <c r="GA236" s="32"/>
      <c r="GB236" s="32"/>
      <c r="GC236" s="32"/>
      <c r="GD236" s="32"/>
      <c r="GE236" s="32"/>
      <c r="GF236" s="32"/>
      <c r="GG236" s="32"/>
      <c r="GH236" s="32"/>
      <c r="GI236" s="32"/>
      <c r="GJ236" s="32"/>
      <c r="GK236" s="32"/>
      <c r="GL236" s="32"/>
      <c r="GM236" s="32"/>
      <c r="GN236" s="32"/>
      <c r="GO236" s="32"/>
      <c r="GP236" s="32"/>
      <c r="GQ236" s="32"/>
      <c r="GR236" s="32"/>
      <c r="GS236" s="32"/>
      <c r="GT236" s="32"/>
      <c r="GU236" s="32"/>
      <c r="GV236" s="32"/>
      <c r="GW236" s="32"/>
      <c r="GX236" s="32"/>
      <c r="GY236" s="32"/>
      <c r="GZ236" s="32"/>
      <c r="HA236" s="32"/>
      <c r="HB236" s="32"/>
      <c r="HC236" s="32"/>
      <c r="HD236" s="32"/>
      <c r="HE236" s="32"/>
      <c r="HF236" s="32"/>
      <c r="HG236" s="32"/>
      <c r="HH236" s="32"/>
      <c r="HI236" s="32"/>
      <c r="HJ236" s="32"/>
      <c r="HK236" s="32"/>
      <c r="HL236" s="32"/>
      <c r="HM236" s="32"/>
      <c r="HN236" s="32"/>
      <c r="HO236" s="32"/>
      <c r="HP236" s="32"/>
      <c r="HQ236" s="32"/>
      <c r="HR236" s="32"/>
      <c r="HS236" s="32"/>
      <c r="HT236" s="32"/>
      <c r="HU236" s="32"/>
      <c r="HV236" s="32"/>
      <c r="HW236" s="32"/>
      <c r="HX236" s="32"/>
      <c r="HY236" s="32"/>
      <c r="HZ236" s="32"/>
      <c r="IA236" s="32"/>
      <c r="IB236" s="32"/>
      <c r="IC236" s="32"/>
      <c r="ID236" s="32"/>
      <c r="IE236" s="32"/>
      <c r="IF236" s="32"/>
      <c r="IG236" s="32"/>
      <c r="IH236" s="32"/>
      <c r="II236" s="32"/>
      <c r="IJ236" s="32"/>
      <c r="IK236" s="32"/>
      <c r="IL236" s="32"/>
      <c r="IM236" s="32"/>
      <c r="IN236" s="32"/>
      <c r="IO236" s="32"/>
      <c r="IP236" s="32"/>
      <c r="IQ236" s="32"/>
      <c r="IR236" s="32"/>
      <c r="IS236" s="32"/>
      <c r="IT236" s="32"/>
      <c r="IU236" s="32"/>
      <c r="IV236" s="32"/>
      <c r="IW236" s="32"/>
      <c r="IX236" s="32"/>
      <c r="IY236" s="32"/>
      <c r="IZ236" s="32"/>
      <c r="JA236" s="32"/>
      <c r="JB236" s="32"/>
    </row>
    <row r="237" spans="1:262" s="33" customFormat="1" x14ac:dyDescent="0.25">
      <c r="A237" s="48"/>
      <c r="B237" s="93"/>
      <c r="C237" s="93"/>
      <c r="D237" s="93"/>
      <c r="E237" s="94"/>
      <c r="F237" s="95"/>
      <c r="G237" s="95"/>
      <c r="H237" s="93"/>
      <c r="I237" s="93"/>
      <c r="J237" s="93"/>
      <c r="K237" s="93"/>
      <c r="L237" s="93"/>
      <c r="M237" s="93"/>
      <c r="N237" s="93"/>
      <c r="O237" s="96"/>
      <c r="P237" s="96"/>
      <c r="Q237" s="96"/>
      <c r="R237" s="96"/>
      <c r="S237" s="93"/>
      <c r="T237" s="83"/>
      <c r="U237" s="32"/>
      <c r="V237" s="32"/>
      <c r="W237" s="32"/>
      <c r="X237" s="32"/>
      <c r="Y237" s="32"/>
      <c r="Z237" s="32"/>
      <c r="AA237" s="32"/>
      <c r="AB237" s="32"/>
      <c r="AC237" s="32"/>
      <c r="AD237" s="32"/>
      <c r="AE237" s="32"/>
      <c r="AF237" s="32"/>
      <c r="AG237" s="32"/>
      <c r="AH237" s="32"/>
      <c r="AI237" s="32"/>
      <c r="AJ237" s="32"/>
      <c r="AK237" s="32"/>
      <c r="AL237" s="32"/>
      <c r="AM237" s="32"/>
      <c r="AN237" s="32"/>
      <c r="AO237" s="32"/>
      <c r="AP237" s="32"/>
      <c r="AQ237" s="32"/>
      <c r="AR237" s="32"/>
      <c r="AS237" s="32"/>
      <c r="AT237" s="32"/>
      <c r="AU237" s="32"/>
      <c r="AV237" s="32"/>
      <c r="AW237" s="32"/>
      <c r="AX237" s="32"/>
      <c r="AY237" s="32"/>
      <c r="AZ237" s="32"/>
      <c r="BA237" s="32"/>
      <c r="BB237" s="32"/>
      <c r="BC237" s="32"/>
      <c r="BD237" s="32"/>
      <c r="BE237" s="32"/>
      <c r="BF237" s="32"/>
      <c r="BG237" s="32"/>
      <c r="BH237" s="32"/>
      <c r="BI237" s="32"/>
      <c r="BJ237" s="32"/>
      <c r="BK237" s="32"/>
      <c r="BL237" s="32"/>
      <c r="BM237" s="32"/>
      <c r="BN237" s="32"/>
      <c r="BO237" s="32"/>
      <c r="BP237" s="32"/>
      <c r="BQ237" s="32"/>
      <c r="BR237" s="32"/>
      <c r="BS237" s="32"/>
      <c r="BT237" s="32"/>
      <c r="BU237" s="32"/>
      <c r="BV237" s="32"/>
      <c r="BW237" s="32"/>
      <c r="BX237" s="32"/>
      <c r="BY237" s="32"/>
      <c r="BZ237" s="32"/>
      <c r="CA237" s="32"/>
      <c r="CB237" s="32"/>
      <c r="CC237" s="32"/>
      <c r="CD237" s="32"/>
      <c r="CE237" s="32"/>
      <c r="CF237" s="32"/>
      <c r="CG237" s="32"/>
      <c r="CH237" s="32"/>
      <c r="CI237" s="32"/>
      <c r="CJ237" s="32"/>
      <c r="CK237" s="32"/>
      <c r="CL237" s="32"/>
      <c r="CM237" s="32"/>
      <c r="CN237" s="32"/>
      <c r="CO237" s="32"/>
      <c r="CP237" s="32"/>
      <c r="CQ237" s="32"/>
      <c r="CR237" s="32"/>
      <c r="CS237" s="32"/>
      <c r="CT237" s="32"/>
      <c r="CU237" s="32"/>
      <c r="CV237" s="32"/>
      <c r="CW237" s="32"/>
      <c r="CX237" s="32"/>
      <c r="CY237" s="32"/>
      <c r="CZ237" s="32"/>
      <c r="DA237" s="32"/>
      <c r="DB237" s="32"/>
      <c r="DC237" s="32"/>
      <c r="DD237" s="32"/>
      <c r="DE237" s="32"/>
      <c r="DF237" s="32"/>
      <c r="DG237" s="32"/>
      <c r="DH237" s="32"/>
      <c r="DI237" s="32"/>
      <c r="DJ237" s="32"/>
      <c r="DK237" s="32"/>
      <c r="DL237" s="32"/>
      <c r="DM237" s="32"/>
      <c r="DN237" s="32"/>
      <c r="DO237" s="32"/>
      <c r="DP237" s="32"/>
      <c r="DQ237" s="32"/>
      <c r="DR237" s="32"/>
      <c r="DS237" s="32"/>
      <c r="DT237" s="32"/>
      <c r="DU237" s="32"/>
      <c r="DV237" s="32"/>
      <c r="DW237" s="32"/>
      <c r="DX237" s="32"/>
      <c r="DY237" s="32"/>
      <c r="DZ237" s="32"/>
      <c r="EA237" s="32"/>
      <c r="EB237" s="32"/>
      <c r="EC237" s="32"/>
      <c r="ED237" s="32"/>
      <c r="EE237" s="32"/>
      <c r="EF237" s="32"/>
      <c r="EG237" s="32"/>
      <c r="EH237" s="32"/>
      <c r="EI237" s="32"/>
      <c r="EJ237" s="32"/>
      <c r="EK237" s="32"/>
      <c r="EL237" s="32"/>
      <c r="EM237" s="32"/>
      <c r="EN237" s="32"/>
      <c r="EO237" s="32"/>
      <c r="EP237" s="32"/>
      <c r="EQ237" s="32"/>
      <c r="ER237" s="32"/>
      <c r="ES237" s="32"/>
      <c r="ET237" s="32"/>
      <c r="EU237" s="32"/>
      <c r="EV237" s="32"/>
      <c r="EW237" s="32"/>
      <c r="EX237" s="32"/>
      <c r="EY237" s="32"/>
      <c r="EZ237" s="32"/>
      <c r="FA237" s="32"/>
      <c r="FB237" s="32"/>
      <c r="FC237" s="32"/>
      <c r="FD237" s="32"/>
      <c r="FE237" s="32"/>
      <c r="FF237" s="32"/>
      <c r="FG237" s="32"/>
      <c r="FH237" s="32"/>
      <c r="FI237" s="32"/>
      <c r="FJ237" s="32"/>
      <c r="FK237" s="32"/>
      <c r="FL237" s="32"/>
      <c r="FM237" s="32"/>
      <c r="FN237" s="32"/>
      <c r="FO237" s="32"/>
      <c r="FP237" s="32"/>
      <c r="FQ237" s="32"/>
      <c r="FR237" s="32"/>
      <c r="FS237" s="32"/>
      <c r="FT237" s="32"/>
      <c r="FU237" s="32"/>
      <c r="FV237" s="32"/>
      <c r="FW237" s="32"/>
      <c r="FX237" s="32"/>
      <c r="FY237" s="32"/>
      <c r="FZ237" s="32"/>
      <c r="GA237" s="32"/>
      <c r="GB237" s="32"/>
      <c r="GC237" s="32"/>
      <c r="GD237" s="32"/>
      <c r="GE237" s="32"/>
      <c r="GF237" s="32"/>
      <c r="GG237" s="32"/>
      <c r="GH237" s="32"/>
      <c r="GI237" s="32"/>
      <c r="GJ237" s="32"/>
      <c r="GK237" s="32"/>
      <c r="GL237" s="32"/>
      <c r="GM237" s="32"/>
      <c r="GN237" s="32"/>
      <c r="GO237" s="32"/>
      <c r="GP237" s="32"/>
      <c r="GQ237" s="32"/>
      <c r="GR237" s="32"/>
      <c r="GS237" s="32"/>
      <c r="GT237" s="32"/>
      <c r="GU237" s="32"/>
      <c r="GV237" s="32"/>
      <c r="GW237" s="32"/>
      <c r="GX237" s="32"/>
      <c r="GY237" s="32"/>
      <c r="GZ237" s="32"/>
      <c r="HA237" s="32"/>
      <c r="HB237" s="32"/>
      <c r="HC237" s="32"/>
      <c r="HD237" s="32"/>
      <c r="HE237" s="32"/>
      <c r="HF237" s="32"/>
      <c r="HG237" s="32"/>
      <c r="HH237" s="32"/>
      <c r="HI237" s="32"/>
      <c r="HJ237" s="32"/>
      <c r="HK237" s="32"/>
      <c r="HL237" s="32"/>
      <c r="HM237" s="32"/>
      <c r="HN237" s="32"/>
      <c r="HO237" s="32"/>
      <c r="HP237" s="32"/>
      <c r="HQ237" s="32"/>
      <c r="HR237" s="32"/>
      <c r="HS237" s="32"/>
      <c r="HT237" s="32"/>
      <c r="HU237" s="32"/>
      <c r="HV237" s="32"/>
      <c r="HW237" s="32"/>
      <c r="HX237" s="32"/>
      <c r="HY237" s="32"/>
      <c r="HZ237" s="32"/>
      <c r="IA237" s="32"/>
      <c r="IB237" s="32"/>
      <c r="IC237" s="32"/>
      <c r="ID237" s="32"/>
      <c r="IE237" s="32"/>
      <c r="IF237" s="32"/>
      <c r="IG237" s="32"/>
      <c r="IH237" s="32"/>
      <c r="II237" s="32"/>
      <c r="IJ237" s="32"/>
      <c r="IK237" s="32"/>
      <c r="IL237" s="32"/>
      <c r="IM237" s="32"/>
      <c r="IN237" s="32"/>
      <c r="IO237" s="32"/>
      <c r="IP237" s="32"/>
      <c r="IQ237" s="32"/>
      <c r="IR237" s="32"/>
      <c r="IS237" s="32"/>
      <c r="IT237" s="32"/>
      <c r="IU237" s="32"/>
      <c r="IV237" s="32"/>
      <c r="IW237" s="32"/>
      <c r="IX237" s="32"/>
      <c r="IY237" s="32"/>
      <c r="IZ237" s="32"/>
      <c r="JA237" s="32"/>
      <c r="JB237" s="32"/>
    </row>
    <row r="238" spans="1:262" s="33" customFormat="1" x14ac:dyDescent="0.25">
      <c r="A238" s="48"/>
      <c r="B238" s="93"/>
      <c r="C238" s="93"/>
      <c r="D238" s="93"/>
      <c r="E238" s="94"/>
      <c r="F238" s="95"/>
      <c r="G238" s="95"/>
      <c r="H238" s="93"/>
      <c r="I238" s="93"/>
      <c r="J238" s="93"/>
      <c r="K238" s="93"/>
      <c r="L238" s="93"/>
      <c r="M238" s="93"/>
      <c r="N238" s="93"/>
      <c r="O238" s="96"/>
      <c r="P238" s="96"/>
      <c r="Q238" s="96"/>
      <c r="R238" s="96"/>
      <c r="S238" s="93"/>
      <c r="T238" s="83"/>
      <c r="U238" s="32"/>
      <c r="V238" s="32"/>
      <c r="W238" s="32"/>
      <c r="X238" s="32"/>
      <c r="Y238" s="32"/>
      <c r="Z238" s="32"/>
      <c r="AA238" s="32"/>
      <c r="AB238" s="32"/>
      <c r="AC238" s="32"/>
      <c r="AD238" s="32"/>
      <c r="AE238" s="32"/>
      <c r="AF238" s="32"/>
      <c r="AG238" s="32"/>
      <c r="AH238" s="32"/>
      <c r="AI238" s="32"/>
      <c r="AJ238" s="32"/>
      <c r="AK238" s="32"/>
      <c r="AL238" s="32"/>
      <c r="AM238" s="32"/>
      <c r="AN238" s="32"/>
      <c r="AO238" s="32"/>
      <c r="AP238" s="32"/>
      <c r="AQ238" s="32"/>
      <c r="AR238" s="32"/>
      <c r="AS238" s="32"/>
      <c r="AT238" s="32"/>
      <c r="AU238" s="32"/>
      <c r="AV238" s="32"/>
      <c r="AW238" s="32"/>
      <c r="AX238" s="32"/>
      <c r="AY238" s="32"/>
      <c r="AZ238" s="32"/>
      <c r="BA238" s="32"/>
      <c r="BB238" s="32"/>
      <c r="BC238" s="32"/>
      <c r="BD238" s="32"/>
      <c r="BE238" s="32"/>
      <c r="BF238" s="32"/>
      <c r="BG238" s="32"/>
      <c r="BH238" s="32"/>
      <c r="BI238" s="32"/>
      <c r="BJ238" s="32"/>
      <c r="BK238" s="32"/>
      <c r="BL238" s="32"/>
      <c r="BM238" s="32"/>
      <c r="BN238" s="32"/>
      <c r="BO238" s="32"/>
      <c r="BP238" s="32"/>
      <c r="BQ238" s="32"/>
      <c r="BR238" s="32"/>
      <c r="BS238" s="32"/>
      <c r="BT238" s="32"/>
      <c r="BU238" s="32"/>
      <c r="BV238" s="32"/>
      <c r="BW238" s="32"/>
      <c r="BX238" s="32"/>
      <c r="BY238" s="32"/>
      <c r="BZ238" s="32"/>
      <c r="CA238" s="32"/>
      <c r="CB238" s="32"/>
      <c r="CC238" s="32"/>
      <c r="CD238" s="32"/>
      <c r="CE238" s="32"/>
      <c r="CF238" s="32"/>
      <c r="CG238" s="32"/>
      <c r="CH238" s="32"/>
      <c r="CI238" s="32"/>
      <c r="CJ238" s="32"/>
      <c r="CK238" s="32"/>
      <c r="CL238" s="32"/>
      <c r="CM238" s="32"/>
      <c r="CN238" s="32"/>
      <c r="CO238" s="32"/>
      <c r="CP238" s="32"/>
      <c r="CQ238" s="32"/>
      <c r="CR238" s="32"/>
      <c r="CS238" s="32"/>
      <c r="CT238" s="32"/>
      <c r="CU238" s="32"/>
      <c r="CV238" s="32"/>
      <c r="CW238" s="32"/>
      <c r="CX238" s="32"/>
      <c r="CY238" s="32"/>
      <c r="CZ238" s="32"/>
      <c r="DA238" s="32"/>
      <c r="DB238" s="32"/>
      <c r="DC238" s="32"/>
      <c r="DD238" s="32"/>
      <c r="DE238" s="32"/>
      <c r="DF238" s="32"/>
      <c r="DG238" s="32"/>
      <c r="DH238" s="32"/>
      <c r="DI238" s="32"/>
      <c r="DJ238" s="32"/>
      <c r="DK238" s="32"/>
      <c r="DL238" s="32"/>
      <c r="DM238" s="32"/>
      <c r="DN238" s="32"/>
      <c r="DO238" s="32"/>
      <c r="DP238" s="32"/>
      <c r="DQ238" s="32"/>
      <c r="DR238" s="32"/>
      <c r="DS238" s="32"/>
      <c r="DT238" s="32"/>
      <c r="DU238" s="32"/>
      <c r="DV238" s="32"/>
      <c r="DW238" s="32"/>
      <c r="DX238" s="32"/>
      <c r="DY238" s="32"/>
      <c r="DZ238" s="32"/>
      <c r="EA238" s="32"/>
      <c r="EB238" s="32"/>
      <c r="EC238" s="32"/>
      <c r="ED238" s="32"/>
      <c r="EE238" s="32"/>
      <c r="EF238" s="32"/>
      <c r="EG238" s="32"/>
      <c r="EH238" s="32"/>
      <c r="EI238" s="32"/>
      <c r="EJ238" s="32"/>
      <c r="EK238" s="32"/>
      <c r="EL238" s="32"/>
      <c r="EM238" s="32"/>
      <c r="EN238" s="32"/>
      <c r="EO238" s="32"/>
      <c r="EP238" s="32"/>
      <c r="EQ238" s="32"/>
      <c r="ER238" s="32"/>
      <c r="ES238" s="32"/>
      <c r="ET238" s="32"/>
      <c r="EU238" s="32"/>
      <c r="EV238" s="32"/>
      <c r="EW238" s="32"/>
      <c r="EX238" s="32"/>
      <c r="EY238" s="32"/>
      <c r="EZ238" s="32"/>
      <c r="FA238" s="32"/>
      <c r="FB238" s="32"/>
      <c r="FC238" s="32"/>
      <c r="FD238" s="32"/>
      <c r="FE238" s="32"/>
      <c r="FF238" s="32"/>
      <c r="FG238" s="32"/>
      <c r="FH238" s="32"/>
      <c r="FI238" s="32"/>
      <c r="FJ238" s="32"/>
      <c r="FK238" s="32"/>
      <c r="FL238" s="32"/>
      <c r="FM238" s="32"/>
      <c r="FN238" s="32"/>
      <c r="FO238" s="32"/>
      <c r="FP238" s="32"/>
      <c r="FQ238" s="32"/>
      <c r="FR238" s="32"/>
      <c r="FS238" s="32"/>
      <c r="FT238" s="32"/>
      <c r="FU238" s="32"/>
      <c r="FV238" s="32"/>
      <c r="FW238" s="32"/>
      <c r="FX238" s="32"/>
      <c r="FY238" s="32"/>
      <c r="FZ238" s="32"/>
      <c r="GA238" s="32"/>
      <c r="GB238" s="32"/>
      <c r="GC238" s="32"/>
      <c r="GD238" s="32"/>
      <c r="GE238" s="32"/>
      <c r="GF238" s="32"/>
      <c r="GG238" s="32"/>
      <c r="GH238" s="32"/>
      <c r="GI238" s="32"/>
      <c r="GJ238" s="32"/>
      <c r="GK238" s="32"/>
      <c r="GL238" s="32"/>
      <c r="GM238" s="32"/>
      <c r="GN238" s="32"/>
      <c r="GO238" s="32"/>
      <c r="GP238" s="32"/>
      <c r="GQ238" s="32"/>
      <c r="GR238" s="32"/>
      <c r="GS238" s="32"/>
      <c r="GT238" s="32"/>
      <c r="GU238" s="32"/>
      <c r="GV238" s="32"/>
      <c r="GW238" s="32"/>
      <c r="GX238" s="32"/>
      <c r="GY238" s="32"/>
      <c r="GZ238" s="32"/>
      <c r="HA238" s="32"/>
      <c r="HB238" s="32"/>
      <c r="HC238" s="32"/>
      <c r="HD238" s="32"/>
      <c r="HE238" s="32"/>
      <c r="HF238" s="32"/>
      <c r="HG238" s="32"/>
      <c r="HH238" s="32"/>
      <c r="HI238" s="32"/>
      <c r="HJ238" s="32"/>
      <c r="HK238" s="32"/>
      <c r="HL238" s="32"/>
      <c r="HM238" s="32"/>
      <c r="HN238" s="32"/>
      <c r="HO238" s="32"/>
      <c r="HP238" s="32"/>
      <c r="HQ238" s="32"/>
      <c r="HR238" s="32"/>
      <c r="HS238" s="32"/>
      <c r="HT238" s="32"/>
      <c r="HU238" s="32"/>
      <c r="HV238" s="32"/>
      <c r="HW238" s="32"/>
      <c r="HX238" s="32"/>
      <c r="HY238" s="32"/>
      <c r="HZ238" s="32"/>
      <c r="IA238" s="32"/>
      <c r="IB238" s="32"/>
      <c r="IC238" s="32"/>
      <c r="ID238" s="32"/>
      <c r="IE238" s="32"/>
      <c r="IF238" s="32"/>
      <c r="IG238" s="32"/>
      <c r="IH238" s="32"/>
      <c r="II238" s="32"/>
      <c r="IJ238" s="32"/>
      <c r="IK238" s="32"/>
      <c r="IL238" s="32"/>
      <c r="IM238" s="32"/>
      <c r="IN238" s="32"/>
      <c r="IO238" s="32"/>
      <c r="IP238" s="32"/>
      <c r="IQ238" s="32"/>
      <c r="IR238" s="32"/>
      <c r="IS238" s="32"/>
      <c r="IT238" s="32"/>
      <c r="IU238" s="32"/>
      <c r="IV238" s="32"/>
      <c r="IW238" s="32"/>
      <c r="IX238" s="32"/>
      <c r="IY238" s="32"/>
      <c r="IZ238" s="32"/>
      <c r="JA238" s="32"/>
      <c r="JB238" s="32"/>
    </row>
    <row r="239" spans="1:262" s="33" customFormat="1" x14ac:dyDescent="0.25">
      <c r="A239" s="48"/>
      <c r="B239" s="93"/>
      <c r="C239" s="93"/>
      <c r="D239" s="93"/>
      <c r="E239" s="94"/>
      <c r="F239" s="95"/>
      <c r="G239" s="95"/>
      <c r="H239" s="93"/>
      <c r="I239" s="93"/>
      <c r="J239" s="93"/>
      <c r="K239" s="93"/>
      <c r="L239" s="93"/>
      <c r="M239" s="93"/>
      <c r="N239" s="93"/>
      <c r="O239" s="96"/>
      <c r="P239" s="96"/>
      <c r="Q239" s="96"/>
      <c r="R239" s="96"/>
      <c r="S239" s="93"/>
      <c r="T239" s="83"/>
      <c r="U239" s="32"/>
      <c r="V239" s="32"/>
      <c r="W239" s="32"/>
      <c r="X239" s="32"/>
      <c r="Y239" s="32"/>
      <c r="Z239" s="32"/>
      <c r="AA239" s="32"/>
      <c r="AB239" s="32"/>
      <c r="AC239" s="32"/>
      <c r="AD239" s="32"/>
      <c r="AE239" s="32"/>
      <c r="AF239" s="32"/>
      <c r="AG239" s="32"/>
      <c r="AH239" s="32"/>
      <c r="AI239" s="32"/>
      <c r="AJ239" s="32"/>
      <c r="AK239" s="32"/>
      <c r="AL239" s="32"/>
      <c r="AM239" s="32"/>
      <c r="AN239" s="32"/>
      <c r="AO239" s="32"/>
      <c r="AP239" s="32"/>
      <c r="AQ239" s="32"/>
      <c r="AR239" s="32"/>
      <c r="AS239" s="32"/>
      <c r="AT239" s="32"/>
      <c r="AU239" s="32"/>
      <c r="AV239" s="32"/>
      <c r="AW239" s="32"/>
      <c r="AX239" s="32"/>
      <c r="AY239" s="32"/>
      <c r="AZ239" s="32"/>
      <c r="BA239" s="32"/>
      <c r="BB239" s="32"/>
      <c r="BC239" s="32"/>
      <c r="BD239" s="32"/>
      <c r="BE239" s="32"/>
      <c r="BF239" s="32"/>
      <c r="BG239" s="32"/>
      <c r="BH239" s="32"/>
      <c r="BI239" s="32"/>
      <c r="BJ239" s="32"/>
      <c r="BK239" s="32"/>
      <c r="BL239" s="32"/>
      <c r="BM239" s="32"/>
      <c r="BN239" s="32"/>
      <c r="BO239" s="32"/>
      <c r="BP239" s="32"/>
      <c r="BQ239" s="32"/>
      <c r="BR239" s="32"/>
      <c r="BS239" s="32"/>
      <c r="BT239" s="32"/>
      <c r="BU239" s="32"/>
      <c r="BV239" s="32"/>
      <c r="BW239" s="32"/>
      <c r="BX239" s="32"/>
      <c r="BY239" s="32"/>
      <c r="BZ239" s="32"/>
      <c r="CA239" s="32"/>
      <c r="CB239" s="32"/>
      <c r="CC239" s="32"/>
      <c r="CD239" s="32"/>
      <c r="CE239" s="32"/>
      <c r="CF239" s="32"/>
      <c r="CG239" s="32"/>
      <c r="CH239" s="32"/>
      <c r="CI239" s="32"/>
      <c r="CJ239" s="32"/>
      <c r="CK239" s="32"/>
      <c r="CL239" s="32"/>
      <c r="CM239" s="32"/>
      <c r="CN239" s="32"/>
      <c r="CO239" s="32"/>
      <c r="CP239" s="32"/>
      <c r="CQ239" s="32"/>
      <c r="CR239" s="32"/>
      <c r="CS239" s="32"/>
      <c r="CT239" s="32"/>
      <c r="CU239" s="32"/>
      <c r="CV239" s="32"/>
      <c r="CW239" s="32"/>
      <c r="CX239" s="32"/>
      <c r="CY239" s="32"/>
      <c r="CZ239" s="32"/>
      <c r="DA239" s="32"/>
      <c r="DB239" s="32"/>
      <c r="DC239" s="32"/>
      <c r="DD239" s="32"/>
      <c r="DE239" s="32"/>
      <c r="DF239" s="32"/>
      <c r="DG239" s="32"/>
      <c r="DH239" s="32"/>
      <c r="DI239" s="32"/>
      <c r="DJ239" s="32"/>
      <c r="DK239" s="32"/>
      <c r="DL239" s="32"/>
      <c r="DM239" s="32"/>
      <c r="DN239" s="32"/>
      <c r="DO239" s="32"/>
      <c r="DP239" s="32"/>
      <c r="DQ239" s="32"/>
      <c r="DR239" s="32"/>
      <c r="DS239" s="32"/>
      <c r="DT239" s="32"/>
      <c r="DU239" s="32"/>
      <c r="DV239" s="32"/>
      <c r="DW239" s="32"/>
      <c r="DX239" s="32"/>
      <c r="DY239" s="32"/>
      <c r="DZ239" s="32"/>
      <c r="EA239" s="32"/>
      <c r="EB239" s="32"/>
      <c r="EC239" s="32"/>
      <c r="ED239" s="32"/>
      <c r="EE239" s="32"/>
      <c r="EF239" s="32"/>
      <c r="EG239" s="32"/>
      <c r="EH239" s="32"/>
      <c r="EI239" s="32"/>
      <c r="EJ239" s="32"/>
      <c r="EK239" s="32"/>
      <c r="EL239" s="32"/>
      <c r="EM239" s="32"/>
      <c r="EN239" s="32"/>
      <c r="EO239" s="32"/>
      <c r="EP239" s="32"/>
      <c r="EQ239" s="32"/>
      <c r="ER239" s="32"/>
      <c r="ES239" s="32"/>
      <c r="ET239" s="32"/>
      <c r="EU239" s="32"/>
      <c r="EV239" s="32"/>
      <c r="EW239" s="32"/>
      <c r="EX239" s="32"/>
      <c r="EY239" s="32"/>
      <c r="EZ239" s="32"/>
      <c r="FA239" s="32"/>
      <c r="FB239" s="32"/>
      <c r="FC239" s="32"/>
      <c r="FD239" s="32"/>
      <c r="FE239" s="32"/>
      <c r="FF239" s="32"/>
      <c r="FG239" s="32"/>
      <c r="FH239" s="32"/>
      <c r="FI239" s="32"/>
      <c r="FJ239" s="32"/>
      <c r="FK239" s="32"/>
      <c r="FL239" s="32"/>
      <c r="FM239" s="32"/>
      <c r="FN239" s="32"/>
      <c r="FO239" s="32"/>
      <c r="FP239" s="32"/>
      <c r="FQ239" s="32"/>
      <c r="FR239" s="32"/>
      <c r="FS239" s="32"/>
      <c r="FT239" s="32"/>
      <c r="FU239" s="32"/>
      <c r="FV239" s="32"/>
      <c r="FW239" s="32"/>
      <c r="FX239" s="32"/>
      <c r="FY239" s="32"/>
      <c r="FZ239" s="32"/>
      <c r="GA239" s="32"/>
      <c r="GB239" s="32"/>
      <c r="GC239" s="32"/>
      <c r="GD239" s="32"/>
      <c r="GE239" s="32"/>
      <c r="GF239" s="32"/>
      <c r="GG239" s="32"/>
      <c r="GH239" s="32"/>
      <c r="GI239" s="32"/>
      <c r="GJ239" s="32"/>
      <c r="GK239" s="32"/>
      <c r="GL239" s="32"/>
      <c r="GM239" s="32"/>
      <c r="GN239" s="32"/>
      <c r="GO239" s="32"/>
      <c r="GP239" s="32"/>
      <c r="GQ239" s="32"/>
      <c r="GR239" s="32"/>
      <c r="GS239" s="32"/>
      <c r="GT239" s="32"/>
      <c r="GU239" s="32"/>
      <c r="GV239" s="32"/>
      <c r="GW239" s="32"/>
      <c r="GX239" s="32"/>
      <c r="GY239" s="32"/>
      <c r="GZ239" s="32"/>
      <c r="HA239" s="32"/>
      <c r="HB239" s="32"/>
      <c r="HC239" s="32"/>
      <c r="HD239" s="32"/>
      <c r="HE239" s="32"/>
      <c r="HF239" s="32"/>
      <c r="HG239" s="32"/>
      <c r="HH239" s="32"/>
      <c r="HI239" s="32"/>
      <c r="HJ239" s="32"/>
      <c r="HK239" s="32"/>
      <c r="HL239" s="32"/>
      <c r="HM239" s="32"/>
      <c r="HN239" s="32"/>
      <c r="HO239" s="32"/>
      <c r="HP239" s="32"/>
      <c r="HQ239" s="32"/>
      <c r="HR239" s="32"/>
      <c r="HS239" s="32"/>
      <c r="HT239" s="32"/>
      <c r="HU239" s="32"/>
      <c r="HV239" s="32"/>
      <c r="HW239" s="32"/>
      <c r="HX239" s="32"/>
      <c r="HY239" s="32"/>
      <c r="HZ239" s="32"/>
      <c r="IA239" s="32"/>
      <c r="IB239" s="32"/>
      <c r="IC239" s="32"/>
      <c r="ID239" s="32"/>
      <c r="IE239" s="32"/>
      <c r="IF239" s="32"/>
      <c r="IG239" s="32"/>
      <c r="IH239" s="32"/>
      <c r="II239" s="32"/>
      <c r="IJ239" s="32"/>
      <c r="IK239" s="32"/>
      <c r="IL239" s="32"/>
      <c r="IM239" s="32"/>
      <c r="IN239" s="32"/>
      <c r="IO239" s="32"/>
      <c r="IP239" s="32"/>
      <c r="IQ239" s="32"/>
      <c r="IR239" s="32"/>
      <c r="IS239" s="32"/>
      <c r="IT239" s="32"/>
      <c r="IU239" s="32"/>
      <c r="IV239" s="32"/>
      <c r="IW239" s="32"/>
      <c r="IX239" s="32"/>
      <c r="IY239" s="32"/>
      <c r="IZ239" s="32"/>
      <c r="JA239" s="32"/>
      <c r="JB239" s="32"/>
    </row>
    <row r="240" spans="1:262" s="33" customFormat="1" x14ac:dyDescent="0.25">
      <c r="A240" s="48"/>
      <c r="B240" s="93"/>
      <c r="C240" s="93"/>
      <c r="D240" s="93"/>
      <c r="E240" s="94"/>
      <c r="F240" s="95"/>
      <c r="G240" s="95"/>
      <c r="H240" s="93"/>
      <c r="I240" s="93"/>
      <c r="J240" s="93"/>
      <c r="K240" s="93"/>
      <c r="L240" s="93"/>
      <c r="M240" s="93"/>
      <c r="N240" s="93"/>
      <c r="O240" s="96"/>
      <c r="P240" s="96"/>
      <c r="Q240" s="96"/>
      <c r="R240" s="96"/>
      <c r="S240" s="93"/>
      <c r="T240" s="83"/>
      <c r="U240" s="32"/>
      <c r="V240" s="32"/>
      <c r="W240" s="32"/>
      <c r="X240" s="32"/>
      <c r="Y240" s="32"/>
      <c r="Z240" s="32"/>
      <c r="AA240" s="32"/>
      <c r="AB240" s="32"/>
      <c r="AC240" s="32"/>
      <c r="AD240" s="32"/>
      <c r="AE240" s="32"/>
      <c r="AF240" s="32"/>
      <c r="AG240" s="32"/>
      <c r="AH240" s="32"/>
      <c r="AI240" s="32"/>
      <c r="AJ240" s="32"/>
      <c r="AK240" s="32"/>
      <c r="AL240" s="32"/>
      <c r="AM240" s="32"/>
      <c r="AN240" s="32"/>
      <c r="AO240" s="32"/>
      <c r="AP240" s="32"/>
      <c r="AQ240" s="32"/>
      <c r="AR240" s="32"/>
      <c r="AS240" s="32"/>
      <c r="AT240" s="32"/>
      <c r="AU240" s="32"/>
      <c r="AV240" s="32"/>
      <c r="AW240" s="32"/>
      <c r="AX240" s="32"/>
      <c r="AY240" s="32"/>
      <c r="AZ240" s="32"/>
      <c r="BA240" s="32"/>
      <c r="BB240" s="32"/>
      <c r="BC240" s="32"/>
      <c r="BD240" s="32"/>
      <c r="BE240" s="32"/>
      <c r="BF240" s="32"/>
      <c r="BG240" s="32"/>
      <c r="BH240" s="32"/>
      <c r="BI240" s="32"/>
      <c r="BJ240" s="32"/>
      <c r="BK240" s="32"/>
      <c r="BL240" s="32"/>
      <c r="BM240" s="32"/>
      <c r="BN240" s="32"/>
      <c r="BO240" s="32"/>
      <c r="BP240" s="32"/>
      <c r="BQ240" s="32"/>
      <c r="BR240" s="32"/>
      <c r="BS240" s="32"/>
      <c r="BT240" s="32"/>
      <c r="BU240" s="32"/>
      <c r="BV240" s="32"/>
      <c r="BW240" s="32"/>
      <c r="BX240" s="32"/>
      <c r="BY240" s="32"/>
      <c r="BZ240" s="32"/>
      <c r="CA240" s="32"/>
      <c r="CB240" s="32"/>
      <c r="CC240" s="32"/>
      <c r="CD240" s="32"/>
      <c r="CE240" s="32"/>
      <c r="CF240" s="32"/>
      <c r="CG240" s="32"/>
      <c r="CH240" s="32"/>
      <c r="CI240" s="32"/>
      <c r="CJ240" s="32"/>
      <c r="CK240" s="32"/>
      <c r="CL240" s="32"/>
      <c r="CM240" s="32"/>
      <c r="CN240" s="32"/>
      <c r="CO240" s="32"/>
      <c r="CP240" s="32"/>
      <c r="CQ240" s="32"/>
      <c r="CR240" s="32"/>
      <c r="CS240" s="32"/>
      <c r="CT240" s="32"/>
      <c r="CU240" s="32"/>
      <c r="CV240" s="32"/>
      <c r="CW240" s="32"/>
      <c r="CX240" s="32"/>
      <c r="CY240" s="32"/>
      <c r="CZ240" s="32"/>
      <c r="DA240" s="32"/>
      <c r="DB240" s="32"/>
      <c r="DC240" s="32"/>
      <c r="DD240" s="32"/>
      <c r="DE240" s="32"/>
      <c r="DF240" s="32"/>
      <c r="DG240" s="32"/>
      <c r="DH240" s="32"/>
      <c r="DI240" s="32"/>
      <c r="DJ240" s="32"/>
      <c r="DK240" s="32"/>
      <c r="DL240" s="32"/>
      <c r="DM240" s="32"/>
      <c r="DN240" s="32"/>
      <c r="DO240" s="32"/>
      <c r="DP240" s="32"/>
      <c r="DQ240" s="32"/>
      <c r="DR240" s="32"/>
      <c r="DS240" s="32"/>
      <c r="DT240" s="32"/>
      <c r="DU240" s="32"/>
      <c r="DV240" s="32"/>
      <c r="DW240" s="32"/>
      <c r="DX240" s="32"/>
      <c r="DY240" s="32"/>
      <c r="DZ240" s="32"/>
      <c r="EA240" s="32"/>
      <c r="EB240" s="32"/>
      <c r="EC240" s="32"/>
      <c r="ED240" s="32"/>
      <c r="EE240" s="32"/>
      <c r="EF240" s="32"/>
      <c r="EG240" s="32"/>
      <c r="EH240" s="32"/>
      <c r="EI240" s="32"/>
      <c r="EJ240" s="32"/>
      <c r="EK240" s="32"/>
      <c r="EL240" s="32"/>
      <c r="EM240" s="32"/>
      <c r="EN240" s="32"/>
      <c r="EO240" s="32"/>
      <c r="EP240" s="32"/>
      <c r="EQ240" s="32"/>
      <c r="ER240" s="32"/>
      <c r="ES240" s="32"/>
      <c r="ET240" s="32"/>
      <c r="EU240" s="32"/>
      <c r="EV240" s="32"/>
      <c r="EW240" s="32"/>
      <c r="EX240" s="32"/>
      <c r="EY240" s="32"/>
      <c r="EZ240" s="32"/>
      <c r="FA240" s="32"/>
      <c r="FB240" s="32"/>
      <c r="FC240" s="32"/>
      <c r="FD240" s="32"/>
      <c r="FE240" s="32"/>
      <c r="FF240" s="32"/>
      <c r="FG240" s="32"/>
      <c r="FH240" s="32"/>
      <c r="FI240" s="32"/>
      <c r="FJ240" s="32"/>
      <c r="FK240" s="32"/>
      <c r="FL240" s="32"/>
      <c r="FM240" s="32"/>
      <c r="FN240" s="32"/>
      <c r="FO240" s="32"/>
      <c r="FP240" s="32"/>
      <c r="FQ240" s="32"/>
      <c r="FR240" s="32"/>
      <c r="FS240" s="32"/>
      <c r="FT240" s="32"/>
      <c r="FU240" s="32"/>
      <c r="FV240" s="32"/>
      <c r="FW240" s="32"/>
      <c r="FX240" s="32"/>
      <c r="FY240" s="32"/>
      <c r="FZ240" s="32"/>
      <c r="GA240" s="32"/>
      <c r="GB240" s="32"/>
      <c r="GC240" s="32"/>
      <c r="GD240" s="32"/>
      <c r="GE240" s="32"/>
      <c r="GF240" s="32"/>
      <c r="GG240" s="32"/>
      <c r="GH240" s="32"/>
      <c r="GI240" s="32"/>
      <c r="GJ240" s="32"/>
      <c r="GK240" s="32"/>
      <c r="GL240" s="32"/>
      <c r="GM240" s="32"/>
      <c r="GN240" s="32"/>
      <c r="GO240" s="32"/>
      <c r="GP240" s="32"/>
      <c r="GQ240" s="32"/>
      <c r="GR240" s="32"/>
      <c r="GS240" s="32"/>
      <c r="GT240" s="32"/>
      <c r="GU240" s="32"/>
      <c r="GV240" s="32"/>
      <c r="GW240" s="32"/>
      <c r="GX240" s="32"/>
      <c r="GY240" s="32"/>
      <c r="GZ240" s="32"/>
      <c r="HA240" s="32"/>
      <c r="HB240" s="32"/>
      <c r="HC240" s="32"/>
      <c r="HD240" s="32"/>
      <c r="HE240" s="32"/>
      <c r="HF240" s="32"/>
      <c r="HG240" s="32"/>
      <c r="HH240" s="32"/>
      <c r="HI240" s="32"/>
      <c r="HJ240" s="32"/>
      <c r="HK240" s="32"/>
      <c r="HL240" s="32"/>
      <c r="HM240" s="32"/>
      <c r="HN240" s="32"/>
      <c r="HO240" s="32"/>
      <c r="HP240" s="32"/>
      <c r="HQ240" s="32"/>
      <c r="HR240" s="32"/>
      <c r="HS240" s="32"/>
      <c r="HT240" s="32"/>
      <c r="HU240" s="32"/>
      <c r="HV240" s="32"/>
      <c r="HW240" s="32"/>
      <c r="HX240" s="32"/>
      <c r="HY240" s="32"/>
      <c r="HZ240" s="32"/>
      <c r="IA240" s="32"/>
      <c r="IB240" s="32"/>
      <c r="IC240" s="32"/>
      <c r="ID240" s="32"/>
      <c r="IE240" s="32"/>
      <c r="IF240" s="32"/>
      <c r="IG240" s="32"/>
      <c r="IH240" s="32"/>
      <c r="II240" s="32"/>
      <c r="IJ240" s="32"/>
      <c r="IK240" s="32"/>
      <c r="IL240" s="32"/>
      <c r="IM240" s="32"/>
      <c r="IN240" s="32"/>
      <c r="IO240" s="32"/>
      <c r="IP240" s="32"/>
      <c r="IQ240" s="32"/>
      <c r="IR240" s="32"/>
      <c r="IS240" s="32"/>
      <c r="IT240" s="32"/>
      <c r="IU240" s="32"/>
      <c r="IV240" s="32"/>
      <c r="IW240" s="32"/>
      <c r="IX240" s="32"/>
      <c r="IY240" s="32"/>
      <c r="IZ240" s="32"/>
      <c r="JA240" s="32"/>
      <c r="JB240" s="32"/>
    </row>
    <row r="241" spans="1:262" s="33" customFormat="1" x14ac:dyDescent="0.25">
      <c r="A241" s="49"/>
      <c r="B241" s="79"/>
      <c r="C241" s="79"/>
      <c r="D241" s="79"/>
      <c r="E241" s="80"/>
      <c r="F241" s="89"/>
      <c r="G241" s="89"/>
      <c r="H241" s="79"/>
      <c r="I241" s="79"/>
      <c r="J241" s="79"/>
      <c r="K241" s="79"/>
      <c r="L241" s="79"/>
      <c r="M241" s="79"/>
      <c r="N241" s="79"/>
      <c r="O241" s="90"/>
      <c r="P241" s="90"/>
      <c r="Q241" s="90"/>
      <c r="R241" s="90"/>
      <c r="S241" s="79"/>
      <c r="T241" s="73"/>
      <c r="U241" s="32"/>
      <c r="V241" s="32"/>
      <c r="W241" s="32"/>
      <c r="X241" s="32"/>
      <c r="Y241" s="32"/>
      <c r="Z241" s="32"/>
      <c r="AA241" s="32"/>
      <c r="AB241" s="32"/>
      <c r="AC241" s="32"/>
      <c r="AD241" s="32"/>
      <c r="AE241" s="32"/>
      <c r="AF241" s="32"/>
      <c r="AG241" s="32"/>
      <c r="AH241" s="32"/>
      <c r="AI241" s="32"/>
      <c r="AJ241" s="32"/>
      <c r="AK241" s="32"/>
      <c r="AL241" s="32"/>
      <c r="AM241" s="32"/>
      <c r="AN241" s="32"/>
      <c r="AO241" s="32"/>
      <c r="AP241" s="32"/>
      <c r="AQ241" s="32"/>
      <c r="AR241" s="32"/>
      <c r="AS241" s="32"/>
      <c r="AT241" s="32"/>
      <c r="AU241" s="32"/>
      <c r="AV241" s="32"/>
      <c r="AW241" s="32"/>
      <c r="AX241" s="32"/>
      <c r="AY241" s="32"/>
      <c r="AZ241" s="32"/>
      <c r="BA241" s="32"/>
      <c r="BB241" s="32"/>
      <c r="BC241" s="32"/>
      <c r="BD241" s="32"/>
      <c r="BE241" s="32"/>
      <c r="BF241" s="32"/>
      <c r="BG241" s="32"/>
      <c r="BH241" s="32"/>
      <c r="BI241" s="32"/>
      <c r="BJ241" s="32"/>
      <c r="BK241" s="32"/>
      <c r="BL241" s="32"/>
      <c r="BM241" s="32"/>
      <c r="BN241" s="32"/>
      <c r="BO241" s="32"/>
      <c r="BP241" s="32"/>
      <c r="BQ241" s="32"/>
      <c r="BR241" s="32"/>
      <c r="BS241" s="32"/>
      <c r="BT241" s="32"/>
      <c r="BU241" s="32"/>
      <c r="BV241" s="32"/>
      <c r="BW241" s="32"/>
      <c r="BX241" s="32"/>
      <c r="BY241" s="32"/>
      <c r="BZ241" s="32"/>
      <c r="CA241" s="32"/>
      <c r="CB241" s="32"/>
      <c r="CC241" s="32"/>
      <c r="CD241" s="32"/>
      <c r="CE241" s="32"/>
      <c r="CF241" s="32"/>
      <c r="CG241" s="32"/>
      <c r="CH241" s="32"/>
      <c r="CI241" s="32"/>
      <c r="CJ241" s="32"/>
      <c r="CK241" s="32"/>
      <c r="CL241" s="32"/>
      <c r="CM241" s="32"/>
      <c r="CN241" s="32"/>
      <c r="CO241" s="32"/>
      <c r="CP241" s="32"/>
      <c r="CQ241" s="32"/>
      <c r="CR241" s="32"/>
      <c r="CS241" s="32"/>
      <c r="CT241" s="32"/>
      <c r="CU241" s="32"/>
      <c r="CV241" s="32"/>
      <c r="CW241" s="32"/>
      <c r="CX241" s="32"/>
      <c r="CY241" s="32"/>
      <c r="CZ241" s="32"/>
      <c r="DA241" s="32"/>
      <c r="DB241" s="32"/>
      <c r="DC241" s="32"/>
      <c r="DD241" s="32"/>
      <c r="DE241" s="32"/>
      <c r="DF241" s="32"/>
      <c r="DG241" s="32"/>
      <c r="DH241" s="32"/>
      <c r="DI241" s="32"/>
      <c r="DJ241" s="32"/>
      <c r="DK241" s="32"/>
      <c r="DL241" s="32"/>
      <c r="DM241" s="32"/>
      <c r="DN241" s="32"/>
      <c r="DO241" s="32"/>
      <c r="DP241" s="32"/>
      <c r="DQ241" s="32"/>
      <c r="DR241" s="32"/>
      <c r="DS241" s="32"/>
      <c r="DT241" s="32"/>
      <c r="DU241" s="32"/>
      <c r="DV241" s="32"/>
      <c r="DW241" s="32"/>
      <c r="DX241" s="32"/>
      <c r="DY241" s="32"/>
      <c r="DZ241" s="32"/>
      <c r="EA241" s="32"/>
      <c r="EB241" s="32"/>
      <c r="EC241" s="32"/>
      <c r="ED241" s="32"/>
      <c r="EE241" s="32"/>
      <c r="EF241" s="32"/>
      <c r="EG241" s="32"/>
      <c r="EH241" s="32"/>
      <c r="EI241" s="32"/>
      <c r="EJ241" s="32"/>
      <c r="EK241" s="32"/>
      <c r="EL241" s="32"/>
      <c r="EM241" s="32"/>
      <c r="EN241" s="32"/>
      <c r="EO241" s="32"/>
      <c r="EP241" s="32"/>
      <c r="EQ241" s="32"/>
      <c r="ER241" s="32"/>
      <c r="ES241" s="32"/>
      <c r="ET241" s="32"/>
      <c r="EU241" s="32"/>
      <c r="EV241" s="32"/>
      <c r="EW241" s="32"/>
      <c r="EX241" s="32"/>
      <c r="EY241" s="32"/>
      <c r="EZ241" s="32"/>
      <c r="FA241" s="32"/>
      <c r="FB241" s="32"/>
      <c r="FC241" s="32"/>
      <c r="FD241" s="32"/>
      <c r="FE241" s="32"/>
      <c r="FF241" s="32"/>
      <c r="FG241" s="32"/>
      <c r="FH241" s="32"/>
      <c r="FI241" s="32"/>
      <c r="FJ241" s="32"/>
      <c r="FK241" s="32"/>
      <c r="FL241" s="32"/>
      <c r="FM241" s="32"/>
      <c r="FN241" s="32"/>
      <c r="FO241" s="32"/>
      <c r="FP241" s="32"/>
      <c r="FQ241" s="32"/>
      <c r="FR241" s="32"/>
      <c r="FS241" s="32"/>
      <c r="FT241" s="32"/>
      <c r="FU241" s="32"/>
      <c r="FV241" s="32"/>
      <c r="FW241" s="32"/>
      <c r="FX241" s="32"/>
      <c r="FY241" s="32"/>
      <c r="FZ241" s="32"/>
      <c r="GA241" s="32"/>
      <c r="GB241" s="32"/>
      <c r="GC241" s="32"/>
      <c r="GD241" s="32"/>
      <c r="GE241" s="32"/>
      <c r="GF241" s="32"/>
      <c r="GG241" s="32"/>
      <c r="GH241" s="32"/>
      <c r="GI241" s="32"/>
      <c r="GJ241" s="32"/>
      <c r="GK241" s="32"/>
      <c r="GL241" s="32"/>
      <c r="GM241" s="32"/>
      <c r="GN241" s="32"/>
      <c r="GO241" s="32"/>
      <c r="GP241" s="32"/>
      <c r="GQ241" s="32"/>
      <c r="GR241" s="32"/>
      <c r="GS241" s="32"/>
      <c r="GT241" s="32"/>
      <c r="GU241" s="32"/>
      <c r="GV241" s="32"/>
      <c r="GW241" s="32"/>
      <c r="GX241" s="32"/>
      <c r="GY241" s="32"/>
      <c r="GZ241" s="32"/>
      <c r="HA241" s="32"/>
      <c r="HB241" s="32"/>
      <c r="HC241" s="32"/>
      <c r="HD241" s="32"/>
      <c r="HE241" s="32"/>
      <c r="HF241" s="32"/>
      <c r="HG241" s="32"/>
      <c r="HH241" s="32"/>
      <c r="HI241" s="32"/>
      <c r="HJ241" s="32"/>
      <c r="HK241" s="32"/>
      <c r="HL241" s="32"/>
      <c r="HM241" s="32"/>
      <c r="HN241" s="32"/>
      <c r="HO241" s="32"/>
      <c r="HP241" s="32"/>
      <c r="HQ241" s="32"/>
      <c r="HR241" s="32"/>
      <c r="HS241" s="32"/>
      <c r="HT241" s="32"/>
      <c r="HU241" s="32"/>
      <c r="HV241" s="32"/>
      <c r="HW241" s="32"/>
      <c r="HX241" s="32"/>
      <c r="HY241" s="32"/>
      <c r="HZ241" s="32"/>
      <c r="IA241" s="32"/>
      <c r="IB241" s="32"/>
      <c r="IC241" s="32"/>
      <c r="ID241" s="32"/>
      <c r="IE241" s="32"/>
      <c r="IF241" s="32"/>
      <c r="IG241" s="32"/>
      <c r="IH241" s="32"/>
      <c r="II241" s="32"/>
      <c r="IJ241" s="32"/>
      <c r="IK241" s="32"/>
      <c r="IL241" s="32"/>
      <c r="IM241" s="32"/>
      <c r="IN241" s="32"/>
      <c r="IO241" s="32"/>
      <c r="IP241" s="32"/>
      <c r="IQ241" s="32"/>
      <c r="IR241" s="32"/>
      <c r="IS241" s="32"/>
      <c r="IT241" s="32"/>
      <c r="IU241" s="32"/>
      <c r="IV241" s="32"/>
      <c r="IW241" s="32"/>
      <c r="IX241" s="32"/>
      <c r="IY241" s="32"/>
      <c r="IZ241" s="32"/>
      <c r="JA241" s="32"/>
      <c r="JB241" s="32"/>
    </row>
    <row r="242" spans="1:262" x14ac:dyDescent="0.25">
      <c r="A242" s="77"/>
      <c r="B242" s="91"/>
      <c r="C242" s="102"/>
      <c r="D242" s="103"/>
      <c r="E242" s="58"/>
      <c r="F242" s="57"/>
      <c r="G242" s="104"/>
      <c r="H242" s="104"/>
      <c r="I242" s="105"/>
      <c r="J242" s="105"/>
      <c r="K242" s="105"/>
      <c r="L242" s="105"/>
      <c r="M242" s="59"/>
      <c r="N242" s="59"/>
      <c r="O242" s="87"/>
      <c r="P242" s="87"/>
      <c r="Q242" s="87"/>
      <c r="R242" s="87"/>
      <c r="S242" s="59"/>
      <c r="T242" s="83"/>
    </row>
    <row r="243" spans="1:262" x14ac:dyDescent="0.25">
      <c r="A243" s="77"/>
      <c r="B243" s="91"/>
      <c r="C243" s="56"/>
      <c r="D243" s="59"/>
      <c r="E243" s="60"/>
      <c r="F243" s="57"/>
      <c r="G243" s="59"/>
      <c r="H243" s="59"/>
      <c r="I243" s="59"/>
      <c r="J243" s="59"/>
      <c r="K243" s="59"/>
      <c r="L243" s="59"/>
      <c r="M243" s="59"/>
      <c r="N243" s="59"/>
      <c r="O243" s="87"/>
      <c r="P243" s="87"/>
      <c r="Q243" s="87"/>
      <c r="R243" s="87"/>
      <c r="S243" s="59"/>
      <c r="T243" s="59"/>
    </row>
    <row r="244" spans="1:262" x14ac:dyDescent="0.25">
      <c r="A244" s="77"/>
      <c r="B244" s="91"/>
      <c r="C244" s="102"/>
      <c r="D244" s="105"/>
      <c r="E244" s="60"/>
      <c r="F244" s="57"/>
      <c r="G244" s="106"/>
      <c r="H244" s="105"/>
      <c r="I244" s="105"/>
      <c r="J244" s="105"/>
      <c r="K244" s="105"/>
      <c r="L244" s="105"/>
      <c r="M244" s="59"/>
      <c r="N244" s="59"/>
      <c r="O244" s="87"/>
      <c r="P244" s="87"/>
      <c r="Q244" s="82"/>
      <c r="R244" s="82"/>
      <c r="S244" s="59"/>
      <c r="T244" s="83"/>
    </row>
    <row r="245" spans="1:262" x14ac:dyDescent="0.25">
      <c r="A245" s="77"/>
      <c r="B245" s="91"/>
      <c r="C245" s="56"/>
      <c r="D245" s="59"/>
      <c r="E245" s="60"/>
      <c r="F245" s="57"/>
      <c r="G245" s="59"/>
      <c r="H245" s="59"/>
      <c r="I245" s="59"/>
      <c r="J245" s="59"/>
      <c r="K245" s="59"/>
      <c r="L245" s="59"/>
      <c r="M245" s="59"/>
      <c r="N245" s="59"/>
      <c r="O245" s="87"/>
      <c r="P245" s="87"/>
      <c r="Q245" s="82"/>
      <c r="R245" s="82"/>
      <c r="S245" s="59"/>
      <c r="T245" s="59"/>
    </row>
    <row r="246" spans="1:262" x14ac:dyDescent="0.25">
      <c r="A246" s="77"/>
      <c r="B246" s="91"/>
      <c r="C246" s="56"/>
      <c r="D246" s="59"/>
      <c r="E246" s="60"/>
      <c r="F246" s="57"/>
      <c r="G246" s="59"/>
      <c r="H246" s="59"/>
      <c r="I246" s="59"/>
      <c r="J246" s="59"/>
      <c r="K246" s="59"/>
      <c r="L246" s="59"/>
      <c r="M246" s="59"/>
      <c r="N246" s="59"/>
      <c r="O246" s="82"/>
      <c r="P246" s="82"/>
      <c r="Q246" s="82"/>
      <c r="R246" s="82"/>
      <c r="S246" s="59"/>
      <c r="T246" s="59"/>
    </row>
    <row r="247" spans="1:262" x14ac:dyDescent="0.25">
      <c r="A247" s="77"/>
      <c r="B247" s="91"/>
      <c r="C247" s="56"/>
      <c r="D247" s="59"/>
      <c r="E247" s="60"/>
      <c r="F247" s="57"/>
      <c r="G247" s="59"/>
      <c r="H247" s="59"/>
      <c r="I247" s="59"/>
      <c r="J247" s="59"/>
      <c r="K247" s="59"/>
      <c r="L247" s="59"/>
      <c r="M247" s="59"/>
      <c r="N247" s="59"/>
      <c r="O247" s="82"/>
      <c r="P247" s="82"/>
      <c r="Q247" s="82"/>
      <c r="R247" s="82"/>
      <c r="S247" s="59"/>
      <c r="T247" s="59"/>
    </row>
    <row r="248" spans="1:262" x14ac:dyDescent="0.25">
      <c r="A248" s="77"/>
      <c r="B248" s="91"/>
      <c r="C248" s="56"/>
      <c r="D248" s="57"/>
      <c r="E248" s="60"/>
      <c r="F248" s="107"/>
      <c r="G248" s="59"/>
      <c r="H248" s="59"/>
      <c r="I248" s="59"/>
      <c r="J248" s="59"/>
      <c r="K248" s="59"/>
      <c r="L248" s="59"/>
      <c r="M248" s="59"/>
      <c r="N248" s="59"/>
      <c r="O248" s="82"/>
      <c r="P248" s="82"/>
      <c r="Q248" s="82"/>
      <c r="R248" s="82"/>
      <c r="S248" s="59"/>
      <c r="T248" s="83"/>
    </row>
    <row r="249" spans="1:262" x14ac:dyDescent="0.25">
      <c r="A249" s="76"/>
      <c r="B249" s="91"/>
      <c r="C249" s="56"/>
      <c r="D249" s="59"/>
      <c r="E249" s="60"/>
      <c r="F249" s="57"/>
      <c r="G249" s="59"/>
      <c r="H249" s="59"/>
      <c r="I249" s="59"/>
      <c r="J249" s="59"/>
      <c r="K249" s="59"/>
      <c r="L249" s="59"/>
      <c r="M249" s="78"/>
      <c r="N249" s="78"/>
      <c r="O249" s="82"/>
      <c r="P249" s="82"/>
      <c r="Q249" s="82"/>
      <c r="R249" s="82"/>
      <c r="S249" s="59"/>
      <c r="T249" s="83"/>
    </row>
    <row r="250" spans="1:262" x14ac:dyDescent="0.25">
      <c r="A250" s="76"/>
      <c r="B250" s="91"/>
      <c r="C250" s="56"/>
      <c r="D250" s="59"/>
      <c r="E250" s="60"/>
      <c r="F250" s="57"/>
      <c r="G250" s="59"/>
      <c r="H250" s="59"/>
      <c r="I250" s="59"/>
      <c r="J250" s="59"/>
      <c r="K250" s="59"/>
      <c r="L250" s="59"/>
      <c r="M250" s="79"/>
      <c r="N250" s="79"/>
      <c r="O250" s="82"/>
      <c r="P250" s="82"/>
      <c r="Q250" s="82"/>
      <c r="R250" s="82"/>
      <c r="S250" s="59"/>
      <c r="T250" s="76"/>
    </row>
    <row r="251" spans="1:262" x14ac:dyDescent="0.25">
      <c r="A251" s="3"/>
      <c r="B251" s="3"/>
      <c r="C251" s="12"/>
      <c r="D251" s="3"/>
      <c r="E251" s="39"/>
      <c r="F251" s="3"/>
      <c r="G251" s="3"/>
      <c r="H251" s="3"/>
      <c r="I251" s="3"/>
      <c r="J251" s="3"/>
      <c r="K251" s="12"/>
      <c r="T251" s="31"/>
    </row>
    <row r="252" spans="1:262" x14ac:dyDescent="0.25">
      <c r="A252" s="3"/>
      <c r="B252" s="3"/>
      <c r="C252" s="12"/>
      <c r="D252" s="3"/>
      <c r="E252" s="39"/>
      <c r="F252" s="3"/>
      <c r="G252" s="3"/>
      <c r="H252" s="3"/>
      <c r="I252" s="3"/>
      <c r="J252" s="3"/>
      <c r="K252" s="12"/>
      <c r="T252" s="31"/>
    </row>
    <row r="253" spans="1:262" x14ac:dyDescent="0.25">
      <c r="A253" s="43"/>
      <c r="B253" s="44"/>
      <c r="C253" s="12"/>
      <c r="D253" s="3"/>
      <c r="E253" s="39"/>
      <c r="F253" s="3"/>
      <c r="G253" s="3"/>
      <c r="H253" s="3"/>
      <c r="I253" s="3"/>
      <c r="J253" s="3"/>
      <c r="K253" s="12"/>
      <c r="T253" s="31"/>
    </row>
    <row r="254" spans="1:262" x14ac:dyDescent="0.25">
      <c r="A254" s="43"/>
      <c r="B254" s="43"/>
      <c r="C254" s="12"/>
      <c r="D254" s="3"/>
      <c r="E254" s="39"/>
      <c r="F254" s="3"/>
      <c r="G254" s="3"/>
      <c r="H254" s="3"/>
      <c r="I254" s="3"/>
      <c r="J254" s="3"/>
      <c r="K254" s="12"/>
      <c r="T254" s="31"/>
    </row>
    <row r="255" spans="1:262" x14ac:dyDescent="0.25">
      <c r="A255" s="43"/>
      <c r="B255" s="43"/>
      <c r="C255" s="12"/>
      <c r="D255" s="3"/>
      <c r="E255" s="39"/>
      <c r="F255" s="3"/>
      <c r="G255" s="3"/>
      <c r="H255" s="3"/>
      <c r="I255" s="3"/>
      <c r="J255" s="3"/>
      <c r="K255" s="12"/>
      <c r="T255" s="31"/>
    </row>
    <row r="256" spans="1:262" x14ac:dyDescent="0.25">
      <c r="A256" s="53"/>
      <c r="B256" s="13"/>
      <c r="C256" s="14"/>
      <c r="D256" s="15"/>
      <c r="E256" s="40"/>
      <c r="F256" s="15"/>
      <c r="G256" s="28"/>
      <c r="H256" s="15"/>
      <c r="I256" s="8"/>
      <c r="J256" s="3"/>
      <c r="K256" s="12"/>
      <c r="T256" s="31"/>
    </row>
    <row r="257" spans="1:20" x14ac:dyDescent="0.25">
      <c r="A257" s="54"/>
      <c r="B257" s="47"/>
      <c r="C257" s="16"/>
      <c r="D257" s="7"/>
      <c r="E257" s="41"/>
      <c r="F257" s="17"/>
      <c r="G257" s="30"/>
      <c r="H257" s="8"/>
      <c r="T257" s="31"/>
    </row>
    <row r="258" spans="1:20" x14ac:dyDescent="0.25">
      <c r="A258" s="53"/>
      <c r="B258" s="13"/>
      <c r="C258" s="13"/>
      <c r="D258" s="13"/>
      <c r="E258" s="13"/>
      <c r="F258" s="13"/>
      <c r="G258" s="13"/>
      <c r="H258" s="13"/>
      <c r="I258" s="13"/>
      <c r="T258" s="31"/>
    </row>
    <row r="259" spans="1:20" x14ac:dyDescent="0.25">
      <c r="T259" s="35"/>
    </row>
  </sheetData>
  <mergeCells count="123">
    <mergeCell ref="S10:S11"/>
    <mergeCell ref="T10:T11"/>
    <mergeCell ref="A5:T5"/>
    <mergeCell ref="A6:T6"/>
    <mergeCell ref="A7:T7"/>
    <mergeCell ref="A8:B8"/>
    <mergeCell ref="A10:A11"/>
    <mergeCell ref="B10:B11"/>
    <mergeCell ref="C10:C11"/>
    <mergeCell ref="D10:D11"/>
    <mergeCell ref="E10:E11"/>
    <mergeCell ref="F10:G10"/>
    <mergeCell ref="H10:H11"/>
    <mergeCell ref="I10:I11"/>
    <mergeCell ref="J10:J11"/>
    <mergeCell ref="K10:K11"/>
    <mergeCell ref="R10:R11"/>
    <mergeCell ref="H67:H68"/>
    <mergeCell ref="G67:G68"/>
    <mergeCell ref="F67:F68"/>
    <mergeCell ref="E67:E68"/>
    <mergeCell ref="D67:D68"/>
    <mergeCell ref="C67:C68"/>
    <mergeCell ref="B67:B68"/>
    <mergeCell ref="A67:A68"/>
    <mergeCell ref="Q10:Q11"/>
    <mergeCell ref="L10:L11"/>
    <mergeCell ref="O10:O11"/>
    <mergeCell ref="M10:M11"/>
    <mergeCell ref="N10:N11"/>
    <mergeCell ref="P10:P11"/>
    <mergeCell ref="S67:S68"/>
    <mergeCell ref="Q67:Q68"/>
    <mergeCell ref="O67:O68"/>
    <mergeCell ref="L67:L68"/>
    <mergeCell ref="K67:K68"/>
    <mergeCell ref="N67:N68"/>
    <mergeCell ref="M67:M68"/>
    <mergeCell ref="J67:J68"/>
    <mergeCell ref="I67:I68"/>
    <mergeCell ref="P67:P68"/>
    <mergeCell ref="R67:R68"/>
    <mergeCell ref="C95:C96"/>
    <mergeCell ref="B95:B96"/>
    <mergeCell ref="A95:A96"/>
    <mergeCell ref="S95:S96"/>
    <mergeCell ref="Q95:Q96"/>
    <mergeCell ref="O95:O96"/>
    <mergeCell ref="N95:N96"/>
    <mergeCell ref="M95:M96"/>
    <mergeCell ref="L95:L96"/>
    <mergeCell ref="K95:K96"/>
    <mergeCell ref="J95:J96"/>
    <mergeCell ref="I95:I96"/>
    <mergeCell ref="H95:H96"/>
    <mergeCell ref="G95:G96"/>
    <mergeCell ref="F95:F96"/>
    <mergeCell ref="E95:E96"/>
    <mergeCell ref="D95:D96"/>
    <mergeCell ref="A98:A99"/>
    <mergeCell ref="S98:S99"/>
    <mergeCell ref="Q98:Q99"/>
    <mergeCell ref="O98:O99"/>
    <mergeCell ref="N98:N99"/>
    <mergeCell ref="M98:M99"/>
    <mergeCell ref="L98:L99"/>
    <mergeCell ref="K98:K99"/>
    <mergeCell ref="J98:J99"/>
    <mergeCell ref="I98:I99"/>
    <mergeCell ref="H98:H99"/>
    <mergeCell ref="G98:G99"/>
    <mergeCell ref="F98:F99"/>
    <mergeCell ref="E98:E99"/>
    <mergeCell ref="D98:D99"/>
    <mergeCell ref="M132:M138"/>
    <mergeCell ref="N132:N138"/>
    <mergeCell ref="S132:S138"/>
    <mergeCell ref="Q132:Q138"/>
    <mergeCell ref="O132:O138"/>
    <mergeCell ref="L132:L138"/>
    <mergeCell ref="K132:K138"/>
    <mergeCell ref="C98:C99"/>
    <mergeCell ref="B98:B99"/>
    <mergeCell ref="G132:G138"/>
    <mergeCell ref="H132:H138"/>
    <mergeCell ref="F132:F138"/>
    <mergeCell ref="P132:P140"/>
    <mergeCell ref="R132:R140"/>
    <mergeCell ref="A132:A138"/>
    <mergeCell ref="B132:B138"/>
    <mergeCell ref="C132:C138"/>
    <mergeCell ref="D132:D138"/>
    <mergeCell ref="E132:E138"/>
    <mergeCell ref="J132:J138"/>
    <mergeCell ref="I132:I138"/>
    <mergeCell ref="A234:I234"/>
    <mergeCell ref="A225:A226"/>
    <mergeCell ref="B225:B226"/>
    <mergeCell ref="C225:C226"/>
    <mergeCell ref="D225:D226"/>
    <mergeCell ref="E225:E226"/>
    <mergeCell ref="A232:C232"/>
    <mergeCell ref="O225:O226"/>
    <mergeCell ref="Q225:Q226"/>
    <mergeCell ref="F225:F226"/>
    <mergeCell ref="G225:G226"/>
    <mergeCell ref="H225:H226"/>
    <mergeCell ref="I225:I226"/>
    <mergeCell ref="J225:J226"/>
    <mergeCell ref="K225:K226"/>
    <mergeCell ref="L225:L226"/>
    <mergeCell ref="M225:M226"/>
    <mergeCell ref="N225:N226"/>
    <mergeCell ref="P225:P226"/>
    <mergeCell ref="R225:R226"/>
    <mergeCell ref="P70:P71"/>
    <mergeCell ref="R70:R71"/>
    <mergeCell ref="R95:R96"/>
    <mergeCell ref="P95:P96"/>
    <mergeCell ref="P98:P99"/>
    <mergeCell ref="R98:R99"/>
    <mergeCell ref="P101:P102"/>
    <mergeCell ref="R101:R102"/>
  </mergeCells>
  <conditionalFormatting sqref="T1:T36 T37:U43 T44 T45:U47 T48:T1048576">
    <cfRule type="cellIs" dxfId="0" priority="1" operator="equal">
      <formula>"""Não"""</formula>
    </cfRule>
  </conditionalFormatting>
  <dataValidations count="2">
    <dataValidation type="list" allowBlank="1" showInputMessage="1" showErrorMessage="1" errorTitle="Erro" error="Digite ATIVO, CONCLUÍDO ou RESCINDIDO" sqref="H141:H144 H62:I62 J48 J44 N37 I31:I43 H53:H61 H242:H1048576 H151:H230 H63:H70 H1:H30 H103:H134 H72:H98 H100:H101" xr:uid="{00000000-0002-0000-0000-000000000000}">
      <formula1>"ATIVO,CONCLUÍDO,RESCINDIDO"</formula1>
    </dataValidation>
    <dataValidation allowBlank="1" showInputMessage="1" showErrorMessage="1" errorTitle="Erro" error="Digite ATIVO, CONCLUÍDO ou RESCINDIDO" sqref="I45:I47" xr:uid="{00000000-0002-0000-0000-000001000000}"/>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C51429CF3525B4A89D363FC271963A6" ma:contentTypeVersion="14" ma:contentTypeDescription="Crie um novo documento." ma:contentTypeScope="" ma:versionID="d7fccac31fbcbc77d7786701ff56851a">
  <xsd:schema xmlns:xsd="http://www.w3.org/2001/XMLSchema" xmlns:xs="http://www.w3.org/2001/XMLSchema" xmlns:p="http://schemas.microsoft.com/office/2006/metadata/properties" xmlns:ns2="4e1dcca7-4955-4931-9aa8-b85daa0dc4c9" xmlns:ns3="544d53d5-2260-47c6-84e5-76f93bdb8e9c" targetNamespace="http://schemas.microsoft.com/office/2006/metadata/properties" ma:root="true" ma:fieldsID="5cdc02846efb51ce3b6b415880dfde63" ns2:_="" ns3:_="">
    <xsd:import namespace="4e1dcca7-4955-4931-9aa8-b85daa0dc4c9"/>
    <xsd:import namespace="544d53d5-2260-47c6-84e5-76f93bdb8e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1dcca7-4955-4931-9aa8-b85daa0dc4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30003ed2-23c4-4d48-b39f-1dd2a6065e2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44d53d5-2260-47c6-84e5-76f93bdb8e9c" elementFormDefault="qualified">
    <xsd:import namespace="http://schemas.microsoft.com/office/2006/documentManagement/types"/>
    <xsd:import namespace="http://schemas.microsoft.com/office/infopath/2007/PartnerControls"/>
    <xsd:element name="SharedWithUsers" ma:index="16"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991e2c4e-3887-4d2d-b5e1-b561954e48eb}" ma:internalName="TaxCatchAll" ma:showField="CatchAllData" ma:web="544d53d5-2260-47c6-84e5-76f93bdb8e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44d53d5-2260-47c6-84e5-76f93bdb8e9c" xsi:nil="true"/>
    <lcf76f155ced4ddcb4097134ff3c332f xmlns="4e1dcca7-4955-4931-9aa8-b85daa0dc4c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44CA45-69D8-4625-86C5-53C1AEB37201}"/>
</file>

<file path=customXml/itemProps2.xml><?xml version="1.0" encoding="utf-8"?>
<ds:datastoreItem xmlns:ds="http://schemas.openxmlformats.org/officeDocument/2006/customXml" ds:itemID="{ADB108B6-04A2-4756-AF34-FB098359185B}">
  <ds:schemaRefs>
    <ds:schemaRef ds:uri="http://schemas.microsoft.com/office/2006/metadata/properties"/>
    <ds:schemaRef ds:uri="http://schemas.microsoft.com/office/infopath/2007/PartnerControls"/>
    <ds:schemaRef ds:uri="544d53d5-2260-47c6-84e5-76f93bdb8e9c"/>
    <ds:schemaRef ds:uri="4e1dcca7-4955-4931-9aa8-b85daa0dc4c9"/>
  </ds:schemaRefs>
</ds:datastoreItem>
</file>

<file path=customXml/itemProps3.xml><?xml version="1.0" encoding="utf-8"?>
<ds:datastoreItem xmlns:ds="http://schemas.openxmlformats.org/officeDocument/2006/customXml" ds:itemID="{A1F78DF9-54D1-4755-A311-36BD6546A6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7</vt:i4>
      </vt:variant>
    </vt:vector>
  </HeadingPairs>
  <TitlesOfParts>
    <vt:vector size="8" baseType="lpstr">
      <vt:lpstr>CONVÊNIOS</vt:lpstr>
      <vt:lpstr>CONVÊNIOS!_FilterDatabase_0_0</vt:lpstr>
      <vt:lpstr>CONVÊNIOS!_Hlk13580526</vt:lpstr>
      <vt:lpstr>CONVÊNIOS!FEVE</vt:lpstr>
      <vt:lpstr>CONVÊNIOS!FEVERIRO</vt:lpstr>
      <vt:lpstr>CONVÊNIOS!Print_Titles_0</vt:lpstr>
      <vt:lpstr>CONVÊNIOS!Print_Titles_0_0</vt:lpstr>
      <vt:lpstr>CONVÊNIOS!Print_Titles_0_0_0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Joao Gabriel Chagas Lopes</cp:lastModifiedBy>
  <cp:revision/>
  <dcterms:created xsi:type="dcterms:W3CDTF">2026-07-31T12:50:32Z</dcterms:created>
  <dcterms:modified xsi:type="dcterms:W3CDTF">2026-07-31T14:01:19Z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0x010100CC51429CF3525B4A89D363FC271963A6</vt:lpwstr>
  </property>
  <property fmtid="{D5CDD505-2E9C-101B-9397-08002B2CF9AE}" pid="3" name="MediaServiceImageTags">
    <vt:lpwstr/>
  </property>
</Properties>
</file>