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 ORÇAMENTÁRIA CONSOLIDA" sheetId="1" state="visible" r:id="rId2"/>
  </sheets>
  <definedNames>
    <definedName function="false" hidden="false" localSheetId="0" name="_xlnm.Print_Area" vbProcedure="false">'PLANILHA ORÇAMENTÁRIA CONSOLIDA'!$A$1:$J$163</definedName>
    <definedName function="false" hidden="false" localSheetId="0" name="_xlnm.Print_Titles" vbProcedure="false">'PLANILHA ORÇAMENTÁRIA CONSOLIDA'!$1:$8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H137" authorId="0">
      <text>
        <r>
          <rPr>
            <sz val="11"/>
            <color rgb="FF000000"/>
            <rFont val="Arial"/>
            <family val="2"/>
            <charset val="1"/>
          </rPr>
          <t xml:space="preserve">Henrique Mendes da Rocha Lopes:
</t>
        </r>
        <r>
          <rPr>
            <sz val="9"/>
            <color rgb="FF000000"/>
            <rFont val="Segoe UI"/>
            <family val="0"/>
            <charset val="1"/>
          </rPr>
          <t xml:space="preserve">57,08</t>
        </r>
      </text>
    </comment>
    <comment ref="H138" authorId="0">
      <text>
        <r>
          <rPr>
            <sz val="11"/>
            <color rgb="FF000000"/>
            <rFont val="Arial"/>
            <family val="2"/>
            <charset val="1"/>
          </rPr>
          <t xml:space="preserve">Henrique Mendes da Rocha Lopes:
</t>
        </r>
        <r>
          <rPr>
            <sz val="9"/>
            <color rgb="FF000000"/>
            <rFont val="Segoe UI"/>
            <family val="0"/>
            <charset val="1"/>
          </rPr>
          <t xml:space="preserve">13,68</t>
        </r>
      </text>
    </comment>
  </commentList>
</comments>
</file>

<file path=xl/sharedStrings.xml><?xml version="1.0" encoding="utf-8"?>
<sst xmlns="http://schemas.openxmlformats.org/spreadsheetml/2006/main" count="632" uniqueCount="375">
  <si>
    <t xml:space="preserve">PLANILHA ORÇAMENTÁRIA CONSOLIDADA</t>
  </si>
  <si>
    <t xml:space="preserve">CONTRATO Nº:</t>
  </si>
  <si>
    <t xml:space="preserve">Nº 031/2022 - MP/PGJ</t>
  </si>
  <si>
    <t xml:space="preserve">CONTRATANTE:</t>
  </si>
  <si>
    <t xml:space="preserve">MP</t>
  </si>
  <si>
    <t xml:space="preserve">OBRA: Reforma do Plenário na Sede do Ministério Público do Estado do Amazonas</t>
  </si>
  <si>
    <t xml:space="preserve">PLANILHA ORÇAMENTÁRIA - DADOS CONTRATUAIS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</si>
  <si>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</si>
  <si>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</si>
  <si>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</si>
  <si>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</si>
  <si>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</si>
  <si>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</si>
  <si>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</t>
  </si>
  <si>
    <t xml:space="preserve">Valor Unit com BDI</t>
  </si>
  <si>
    <t xml:space="preserve">Total</t>
  </si>
  <si>
    <t xml:space="preserve">Peso (%)</t>
  </si>
  <si>
    <t xml:space="preserve"> 1 </t>
  </si>
  <si>
    <t xml:space="preserve">ADMINISTRAÇÃO</t>
  </si>
  <si>
    <t xml:space="preserve"> 1.1 </t>
  </si>
  <si>
    <t xml:space="preserve">SINAPI</t>
  </si>
  <si>
    <t xml:space="preserve">ENCARREGADO GERAL DE OBRAS COM ENCARGOS COMPLEMENTARES</t>
  </si>
  <si>
    <t xml:space="preserve">MES</t>
  </si>
  <si>
    <t xml:space="preserve"> 2 </t>
  </si>
  <si>
    <t xml:space="preserve">PROJETOS</t>
  </si>
  <si>
    <t xml:space="preserve"> 2.1 </t>
  </si>
  <si>
    <t xml:space="preserve"> CO-27477 </t>
  </si>
  <si>
    <t xml:space="preserve">Próprio</t>
  </si>
  <si>
    <t xml:space="preserve">PROJETO EXECUTIVO DE ACÚSTICA (PR)</t>
  </si>
  <si>
    <t xml:space="preserve">PR</t>
  </si>
  <si>
    <t xml:space="preserve">2.2</t>
  </si>
  <si>
    <t xml:space="preserve">CO-27433</t>
  </si>
  <si>
    <t xml:space="preserve">SETOP</t>
  </si>
  <si>
    <t xml:space="preserve">PROJETO EXECUTIVO DE INFRAESTRUTURA DE
CABEAMENTO ESTRUTURADO/CFTV/ALARME/SEGURANÇA/
SONORIZAÇÃO</t>
  </si>
  <si>
    <t xml:space="preserve"> 2.3</t>
  </si>
  <si>
    <t xml:space="preserve">COM-88504260</t>
  </si>
  <si>
    <t xml:space="preserve">PROJETO EXECUTIVO DE SONORIZAÇÃO E VIDEO</t>
  </si>
  <si>
    <t xml:space="preserve">H</t>
  </si>
  <si>
    <t xml:space="preserve">CANTEIRO DE OBRAS</t>
  </si>
  <si>
    <t xml:space="preserve">3.1</t>
  </si>
  <si>
    <t xml:space="preserve">LOCACAO DE CONTAINER 2,30 X 6,00 M, ALT. 2,50 M, COM 1
SANITARIO, PARA ESCRITORIO, COMPLETO, SEM DIVISORIAS
INTERNAS (NAO INCLUI MOBILIZACAO/DESMOBILIZACAO)</t>
  </si>
  <si>
    <t xml:space="preserve">3.2</t>
  </si>
  <si>
    <t xml:space="preserve">LOCACAO DE CONTAINER 2,30 X 4,30 M, ALT. 2,50 M, PARA
SANITARIO, COM 3 BACIAS, 4 CHUVEIROS, 1 LAVATORIO E 1
MICTORIO (NAO INCLUI MOBILIZACAO/DESMOBILIZACAO)</t>
  </si>
  <si>
    <t xml:space="preserve">3.3</t>
  </si>
  <si>
    <t xml:space="preserve">SBC</t>
  </si>
  <si>
    <t xml:space="preserve">ALUGUEL MENSAL CONTAINER-ALMOXARIFADO-6,0x2,4m</t>
  </si>
  <si>
    <t xml:space="preserve">SERVIÇOS PRELIMINARES</t>
  </si>
  <si>
    <t xml:space="preserve"> 4.1 </t>
  </si>
  <si>
    <t xml:space="preserve"> 012689 </t>
  </si>
  <si>
    <t xml:space="preserve">MOBILIZACAO E DESMOBILIZACAO DE CANTEIRO</t>
  </si>
  <si>
    <t xml:space="preserve">UN</t>
  </si>
  <si>
    <t xml:space="preserve"> 4.2 </t>
  </si>
  <si>
    <t xml:space="preserve"> 016500 </t>
  </si>
  <si>
    <t xml:space="preserve">PLACA DE RESPONSABILIDADE TECNICA EM OBRAS</t>
  </si>
  <si>
    <t xml:space="preserve">m²</t>
  </si>
  <si>
    <t xml:space="preserve"> 4.3 </t>
  </si>
  <si>
    <t xml:space="preserve">S04979</t>
  </si>
  <si>
    <t xml:space="preserve">ORSE</t>
  </si>
  <si>
    <t xml:space="preserve">Remoção e reassentamento de telha ondulada de fibro-cimento 4, 6, ou 8mm</t>
  </si>
  <si>
    <t xml:space="preserve"> 4.4 </t>
  </si>
  <si>
    <t xml:space="preserve"> 97641 </t>
  </si>
  <si>
    <t xml:space="preserve">REMOÇÃO DE FORRO DE GESSO, DE FORMA MANUAL, SEM REAPROVEITAMENTO. AF_12/2017</t>
  </si>
  <si>
    <t xml:space="preserve"> 4.5 </t>
  </si>
  <si>
    <t xml:space="preserve"> 97660 </t>
  </si>
  <si>
    <t xml:space="preserve">REMOÇÃO DE INTERRUPTORES/TOMADAS ELÉTRICAS, DE FORMA MANUAL, SEM REAPROVEITAMENTO. AF_12/2017</t>
  </si>
  <si>
    <t xml:space="preserve"> 4.6 </t>
  </si>
  <si>
    <t xml:space="preserve"> 97644 </t>
  </si>
  <si>
    <t xml:space="preserve">REMOÇÃO DE PORTAS, DE FORMA MANUAL, SEM REAPROVEITAMENTO. AF_12/2017</t>
  </si>
  <si>
    <t xml:space="preserve"> 4.7 </t>
  </si>
  <si>
    <t xml:space="preserve"> 97661 </t>
  </si>
  <si>
    <t xml:space="preserve">REMOÇÃO DE CABOS ELÉTRICOS, DE FORMA MANUAL, SEM REAPROVEITAMENTO. AF_12/2017</t>
  </si>
  <si>
    <t xml:space="preserve">M</t>
  </si>
  <si>
    <t xml:space="preserve"> 4.8 </t>
  </si>
  <si>
    <t xml:space="preserve"> 97665 </t>
  </si>
  <si>
    <t xml:space="preserve">REMOÇÃO DE LUMINÁRIAS, DE FORMA MANUAL, SEM REAPROVEITAMENTO. AF_12/2017</t>
  </si>
  <si>
    <t xml:space="preserve"> 4.9 </t>
  </si>
  <si>
    <t xml:space="preserve"> 97638 </t>
  </si>
  <si>
    <t xml:space="preserve">REMOÇÃO DE CHAPAS E PERFIS DE DRYWALL, DE FORMA MANUAL, SEM REAPROVEITAMENTO. AF_12/2017</t>
  </si>
  <si>
    <t xml:space="preserve">4.10</t>
  </si>
  <si>
    <t xml:space="preserve"> 022575 </t>
  </si>
  <si>
    <t xml:space="preserve">DEMOLICAO E RETIRADA DE PISOS EM GERAL</t>
  </si>
  <si>
    <t xml:space="preserve"> 4.11 </t>
  </si>
  <si>
    <t xml:space="preserve"> 90445 </t>
  </si>
  <si>
    <t xml:space="preserve">RASGO EM CONTRAPISO PARA RAMAIS/ DISTRIBUIÇÃO COM DIÂMETROS MAIORES QUE 40 MM E MENORES OU IGUAIS A 75 MM. AF_05/2015</t>
  </si>
  <si>
    <t xml:space="preserve">4.12</t>
  </si>
  <si>
    <t xml:space="preserve">DEMOLIÇÃO DE ALVENARIA PARA QUALQUER TIPO DE BLOCO, DE FORMA MECANIZADA</t>
  </si>
  <si>
    <t xml:space="preserve">m³</t>
  </si>
  <si>
    <t xml:space="preserve">COBERTURA</t>
  </si>
  <si>
    <t xml:space="preserve">5.1</t>
  </si>
  <si>
    <t xml:space="preserve">LIMPEZA DE SUPERFÍCIE COM JATO DE ALTA PRESSÃO</t>
  </si>
  <si>
    <t xml:space="preserve">5.2</t>
  </si>
  <si>
    <t xml:space="preserve">PROTEÇÃO MECÂNICA DE SUPERFICIE HORIZONTAL COM
ARGAMASSA DE CIMENTO E AREIA, TRAÇO 1:3, E=3CM.</t>
  </si>
  <si>
    <t xml:space="preserve">5.3</t>
  </si>
  <si>
    <t xml:space="preserve">PROTEÇÃO MECÂNICA DE SUPERFÍCIE VERTICAL COM ARGAMASSA DE CIMENTO E AREIA, TRAÇO 1:3, E=3CM. AF_06/2018</t>
  </si>
  <si>
    <t xml:space="preserve">MOBILIARIO</t>
  </si>
  <si>
    <t xml:space="preserve">6.1</t>
  </si>
  <si>
    <t xml:space="preserve">ADEQUAÇÃO DAS BANCADAS</t>
  </si>
  <si>
    <t xml:space="preserve">6.1.1</t>
  </si>
  <si>
    <t xml:space="preserve"> COM-92247313 </t>
  </si>
  <si>
    <t xml:space="preserve">Remoção de revestimento em laminado</t>
  </si>
  <si>
    <t xml:space="preserve"> 6.1.2 </t>
  </si>
  <si>
    <t xml:space="preserve"> COM-88617730 </t>
  </si>
  <si>
    <t xml:space="preserve">Corte de Madeira Serrada</t>
  </si>
  <si>
    <t xml:space="preserve">m</t>
  </si>
  <si>
    <t xml:space="preserve">6.1.3</t>
  </si>
  <si>
    <t xml:space="preserve"> COM-39514150 </t>
  </si>
  <si>
    <t xml:space="preserve">Módulo de bancada em madeira serrada - 0,85x0,90x0,63m</t>
  </si>
  <si>
    <t xml:space="preserve">un</t>
  </si>
  <si>
    <t xml:space="preserve">6.1.4</t>
  </si>
  <si>
    <t xml:space="preserve"> COM-52456934 </t>
  </si>
  <si>
    <t xml:space="preserve">Revestimento em laminado melamínico aplicado sobre superfície
de madeira, acabamento fosco, esp. 0,8mm, assentamento com
cola de contato, inclusive lixamento e preparação da superfície
para assentamento</t>
  </si>
  <si>
    <t xml:space="preserve">6.1.5</t>
  </si>
  <si>
    <t xml:space="preserve">Painel Mdeira Revestido Laminado Madeira Brilhante</t>
  </si>
  <si>
    <t xml:space="preserve">DIVISORIA</t>
  </si>
  <si>
    <t xml:space="preserve"> 7.1 </t>
  </si>
  <si>
    <t xml:space="preserve">DIVISORIA PAINEL/VIDRO-PAINEL C/ MSO/COMEIA E=35MM COLOCADA</t>
  </si>
  <si>
    <t xml:space="preserve"> 7.2 </t>
  </si>
  <si>
    <t xml:space="preserve">DIVISORIA NAVAL (PAINEL CEGO)35MM C/ PERFIS EM ACO COLOCADA</t>
  </si>
  <si>
    <t xml:space="preserve"> 7.3 </t>
  </si>
  <si>
    <t xml:space="preserve">PORTA TIPO EUCAPLAC 1 FL.0,80x2,10m P/DIVISORIA C/FERRAGENS</t>
  </si>
  <si>
    <t xml:space="preserve"> 7.4 </t>
  </si>
  <si>
    <t xml:space="preserve">PAREDE COM PLACAS DE GESSO ACARTONADO (DRYWALL), PARA USO INTERNO COM DUAS FACES DUPLAS E ESTRUTURA METÁLICA COM GUIAS DUPLAS, SEM VÃOS. AF_06/2017</t>
  </si>
  <si>
    <t xml:space="preserve">7.5</t>
  </si>
  <si>
    <t xml:space="preserve">PAREDE COM PLACAS DE GESSO ACARTONADO (DRYWALL), PARA USO INTERNO, COM DUAS FACES SIMPLES E ESTRUTURA METÁLICA COM GUIAS SIMPLES, COM VÃOS AF_06/2017_P</t>
  </si>
  <si>
    <t xml:space="preserve">INSTALAÇÕES ELETRICAS</t>
  </si>
  <si>
    <t xml:space="preserve">8.1</t>
  </si>
  <si>
    <t xml:space="preserve">INFRAESTRUTURA</t>
  </si>
  <si>
    <t xml:space="preserve"> 8.1.1 </t>
  </si>
  <si>
    <t xml:space="preserve"> 101879 </t>
  </si>
  <si>
    <t xml:space="preserve">QUADRO DE DISTRIBUIÇÃO DE ENERGIA EM CHAPA DE AÇO GALVANIZADO, DE EMBUTIR, COM BARRAMENTO TRIFÁSICO, PARA 24 DISJUNTORES DIN 100A - FORNECIMENTO E INSTALAÇÃO. AF_10/2020</t>
  </si>
  <si>
    <t xml:space="preserve"> 8.1.2 </t>
  </si>
  <si>
    <t xml:space="preserve"> 101894 </t>
  </si>
  <si>
    <t xml:space="preserve">DISJUNTOR TRIPOLAR TIPO NEMA, CORRENTE NOMINAL DE 60 ATÉ 100A - FORNECIMENTO E INSTALAÇÃO. AF_10/2020</t>
  </si>
  <si>
    <t xml:space="preserve"> 8.1.3 </t>
  </si>
  <si>
    <t xml:space="preserve"> 002418 </t>
  </si>
  <si>
    <t xml:space="preserve">INTERRUPTOR DIFERENCIAL RESIDUAL DR 100A 4 POLOS RDW300-100-4 WEG</t>
  </si>
  <si>
    <t xml:space="preserve"> 8.1.4 </t>
  </si>
  <si>
    <t xml:space="preserve"> 93660 </t>
  </si>
  <si>
    <t xml:space="preserve">DISJUNTOR BIPOLAR TIPO DIN, CORRENTE NOMINAL DE 10A - FORNECIMENTO E INSTALAÇÃO. AF_10/2020</t>
  </si>
  <si>
    <t xml:space="preserve"> 8.1.5 </t>
  </si>
  <si>
    <t xml:space="preserve"> 93661 </t>
  </si>
  <si>
    <t xml:space="preserve">DISJUNTOR BIPOLAR TIPO DIN, CORRENTE NOMINAL DE 16A - FORNECIMENTO E INSTALAÇÃO. AF_10/2020</t>
  </si>
  <si>
    <t xml:space="preserve"> 8.1.6 </t>
  </si>
  <si>
    <t xml:space="preserve"> 93663 </t>
  </si>
  <si>
    <t xml:space="preserve">DISJUNTOR BIPOLAR TIPO DIN, CORRENTE NOMINAL DE 25A - FORNECIMENTO E INSTALAÇÃO. AF_10/2020</t>
  </si>
  <si>
    <t xml:space="preserve"> 8.1.7 </t>
  </si>
  <si>
    <t xml:space="preserve"> 93653 </t>
  </si>
  <si>
    <t xml:space="preserve">DISJUNTOR MONOPOLAR TIPO DIN, CORRENTE NOMINAL DE 10A - FORNECIMENTO E INSTALAÇÃO. AF_10/2020</t>
  </si>
  <si>
    <t xml:space="preserve"> 8.1.8 </t>
  </si>
  <si>
    <t xml:space="preserve"> 93654 </t>
  </si>
  <si>
    <t xml:space="preserve">DISJUNTOR MONOPOLAR TIPO DIN, CORRENTE NOMINAL DE 16A - FORNECIMENTO E INSTALAÇÃO. AF_10/2020</t>
  </si>
  <si>
    <t xml:space="preserve"> 8.1.9 </t>
  </si>
  <si>
    <t xml:space="preserve"> 97238 </t>
  </si>
  <si>
    <t xml:space="preserve">ELETROCALHA LISA OU PERFURADA EM AÇO GALVANIZADO, LARGURA 100MM E ALTURA 50MM, INCLUSIVE EMENDA E FIXAÇÃO - FORNECIMENTO E INSTALAÇÃO. AF_09/2016</t>
  </si>
  <si>
    <t xml:space="preserve"> 8.1.10 </t>
  </si>
  <si>
    <t xml:space="preserve"> 91865 </t>
  </si>
  <si>
    <t xml:space="preserve">ELETRODUTO RÍGIDO ROSCÁVEL, PVC, DN 40 MM (1 1/4"), PARA CIRCUITOS TERMINAIS, INSTALADO EM FORRO - FORNECIMENTO E INSTALAÇÃO. AF_12/2015</t>
  </si>
  <si>
    <t xml:space="preserve"> 8.1.11 </t>
  </si>
  <si>
    <t xml:space="preserve"> 91864 </t>
  </si>
  <si>
    <t xml:space="preserve">ELETRODUTO RÍGIDO ROSCÁVEL, PVC, DN 32 MM (1"), PARA CIRCUITOS TERMINAIS, INSTALADO EM FORRO - FORNECIMENTO E INSTALAÇÃO. AF_12/2015</t>
  </si>
  <si>
    <t xml:space="preserve"> 8.1.12 </t>
  </si>
  <si>
    <t xml:space="preserve"> 91872 </t>
  </si>
  <si>
    <t xml:space="preserve">ELETRODUTO RÍGIDO ROSCÁVEL, PVC, DN 32 MM (1"), PARA CIRCUITOS TERMINAIS, INSTALADO EM PAREDE - FORNECIMENTO E INSTALAÇÃO. AF_12/2015</t>
  </si>
  <si>
    <t xml:space="preserve"> 8.1.13 </t>
  </si>
  <si>
    <t xml:space="preserve"> 91868 </t>
  </si>
  <si>
    <t xml:space="preserve">ELETRODUTO RÍGIDO ROSCÁVEL, PVC, DN 32 MM (1"), PARA CIRCUITOS TERMINAIS, INSTALADO EM LAJE - FORNECIMENTO E INSTALAÇÃO. AF_12/2015</t>
  </si>
  <si>
    <t xml:space="preserve"> 8.1.14 </t>
  </si>
  <si>
    <t xml:space="preserve"> 91863 </t>
  </si>
  <si>
    <t xml:space="preserve">ELETRODUTO RÍGIDO ROSCÁVEL, PVC, DN 25 MM (3/4"), PARA CIRCUITOS TERMINAIS, INSTALADO EM FORRO - FORNECIMENTO E INSTALAÇÃO. AF_12/2015</t>
  </si>
  <si>
    <t xml:space="preserve"> 8.1.15 </t>
  </si>
  <si>
    <t xml:space="preserve"> 91867 </t>
  </si>
  <si>
    <t xml:space="preserve">ELETRODUTO RÍGIDO ROSCÁVEL, PVC, DN 25 MM (3/4"), PARA CIRCUITOS TERMINAIS, INSTALADO EM LAJE - FORNECIMENTO E INSTALAÇÃO. AF_12/2015</t>
  </si>
  <si>
    <t xml:space="preserve"> 8.1.16 </t>
  </si>
  <si>
    <t xml:space="preserve"> 95750 </t>
  </si>
  <si>
    <t xml:space="preserve">ELETRODUTO DE AÇO GALVANIZADO, CLASSE LEVE, DN 25 MM (1), APARENTE, INSTALADO EM PAREDE - FORNECIMENTO E INSTALAÇÃO. AF_11/2016_P</t>
  </si>
  <si>
    <t xml:space="preserve"> 8.1.17 </t>
  </si>
  <si>
    <t xml:space="preserve"> 101562 </t>
  </si>
  <si>
    <t xml:space="preserve">CABO DE COBRE FLEXÍVEL ISOLADO, 25 MM², 0,6/1,0 KV, PARA REDE AÉREA DE DISTRIBUIÇÃO DE ENERGIA ELÉTRICA DE BAIXA TENSÃO - FORNECIMENTO E INSTALAÇÃO. AF_07/2020</t>
  </si>
  <si>
    <t xml:space="preserve"> 8.1.18 </t>
  </si>
  <si>
    <t xml:space="preserve"> 101561 </t>
  </si>
  <si>
    <t xml:space="preserve">CABO DE COBRE FLEXÍVEL ISOLADO, 16 MM², 0,6/1,0 KV, PARA REDE AÉREA DE DISTRIBUIÇÃO DE ENERGIA ELÉTRICA DE BAIXA TENSÃO - FORNECIMENTO E INSTALAÇÃO. AF_07/2020</t>
  </si>
  <si>
    <t xml:space="preserve"> 8.1.19 </t>
  </si>
  <si>
    <t xml:space="preserve"> 91931 </t>
  </si>
  <si>
    <t xml:space="preserve">CABO DE COBRE FLEXÍVEL ISOLADO, 6 MM², ANTI-CHAMA 0,6/1,0 KV, PARA CIRCUITOS TERMINAIS - FORNECIMENTO E INSTALAÇÃO. AF_12/2015</t>
  </si>
  <si>
    <t xml:space="preserve"> 8.1.20 </t>
  </si>
  <si>
    <t xml:space="preserve"> 91927 </t>
  </si>
  <si>
    <t xml:space="preserve">CABO DE COBRE FLEXÍVEL ISOLADO, 2,5 MM², ANTI-CHAMA 0,6/1,0 KV, PARA CIRCUITOS TERMINAIS - FORNECIMENTO E INSTALAÇÃO. AF_12/2015</t>
  </si>
  <si>
    <t xml:space="preserve"> 8.1.21 </t>
  </si>
  <si>
    <t xml:space="preserve"> 91925 </t>
  </si>
  <si>
    <t xml:space="preserve">CABO DE COBRE FLEXÍVEL ISOLADO, 1,5 MM², ANTI-CHAMA 0,6/1,0 KV, PARA CIRCUITOS TERMINAIS - FORNECIMENTO E INSTALAÇÃO. AF_12/2015</t>
  </si>
  <si>
    <t xml:space="preserve"> 8.1.22 </t>
  </si>
  <si>
    <t xml:space="preserve"> 91879 </t>
  </si>
  <si>
    <t xml:space="preserve">LUVA PARA ELETRODUTO, PVC, ROSCÁVEL, DN 25 MM (3/4"), PARA CIRCUITOS TERMINAIS, INSTALADA EM LAJE - FORNECIMENTO E INSTALAÇÃO. AF_12/2015</t>
  </si>
  <si>
    <t xml:space="preserve"> 8.1.23 </t>
  </si>
  <si>
    <t xml:space="preserve"> 91917 </t>
  </si>
  <si>
    <t xml:space="preserve">CURVA 90 GRAUS PARA ELETRODUTO, PVC, ROSCÁVEL, DN 32 MM (1"), PARA CIRCUITOS TERMINAIS, INSTALADA EM PAREDE - FORNECIMENTO E INSTALAÇÃO. AF_12/2015</t>
  </si>
  <si>
    <t xml:space="preserve"> 8.1.24 </t>
  </si>
  <si>
    <t xml:space="preserve"> 91902 </t>
  </si>
  <si>
    <t xml:space="preserve">CURVA 90 GRAUS PARA ELETRODUTO, PVC, ROSCÁVEL, DN 25 MM (3/4"), PARA CIRCUITOS TERMINAIS, INSTALADA EM LAJE - FORNECIMENTO E INSTALAÇÃO. AF_12/2015</t>
  </si>
  <si>
    <t xml:space="preserve"> 8.1.25 </t>
  </si>
  <si>
    <t xml:space="preserve"> 95818 </t>
  </si>
  <si>
    <t xml:space="preserve">CONDULETE DE PVC, TIPO X, PARA ELETRODUTO DE PVC SOLDÁVEL DN 32 MM (1''), APARENTE - FORNECIMENTO E INSTALAÇÃO. AF_11/2016</t>
  </si>
  <si>
    <t xml:space="preserve"> 8.1.26 </t>
  </si>
  <si>
    <t xml:space="preserve"> 009871 </t>
  </si>
  <si>
    <t xml:space="preserve">ADAPTADOR DE REDUCAO CONDULETE TOP 3/4"</t>
  </si>
  <si>
    <t xml:space="preserve"> 8.1.27 </t>
  </si>
  <si>
    <t xml:space="preserve"> 95796 </t>
  </si>
  <si>
    <t xml:space="preserve">CONDULETE DE ALUMÍNIO, TIPO T, PARA ELETRODUTO DE AÇO GALVANIZADO DN 25 MM (1''), APARENTE - FORNECIMENTO E INSTALAÇÃO. AF_11/2016_P</t>
  </si>
  <si>
    <t xml:space="preserve"> 8.1.28 </t>
  </si>
  <si>
    <t xml:space="preserve"> 00039771 </t>
  </si>
  <si>
    <t xml:space="preserve">CAIXA DE PASSAGEM METALICA DE SOBREPOR COM TAMPA PARAFUSADA, DIMENSOES 20 X 20 X 10 CM</t>
  </si>
  <si>
    <t xml:space="preserve"> 8.1.29 </t>
  </si>
  <si>
    <t xml:space="preserve"> COM-48472249 </t>
  </si>
  <si>
    <t xml:space="preserve">CAIXA DE TOMADA COM TAMPA PARA MESA DE ESCRITÓRIO – COR: PRETO – 7 MÓDULOS (3 GRANDES E 4 PEQUENOS). FORNECIMENTO DE 2 MÓDULOS DE TOMADA 10A + 1 MÓDULO DE REDE RJ-45 CAT6. DEMAIS MÓDULOS COM ESPELHO CEGO.</t>
  </si>
  <si>
    <t xml:space="preserve">UND</t>
  </si>
  <si>
    <t xml:space="preserve"> 8.1.30 </t>
  </si>
  <si>
    <t xml:space="preserve"> 91973 </t>
  </si>
  <si>
    <t xml:space="preserve">INTERRUPTOR SIMPLES (2 MÓDULOS) COM INTERRUPTOR PARALELO (2 MÓDULOS), 10A/250V, INCLUINDO SUPORTE E PLACA - FORNECIMENTO E INSTALAÇÃO. AF_12/2015</t>
  </si>
  <si>
    <t xml:space="preserve"> 8.1.31 </t>
  </si>
  <si>
    <t xml:space="preserve"> 92008 </t>
  </si>
  <si>
    <t xml:space="preserve">TOMADA BAIXA DE EMBUTIR (2 MÓDULOS), 2P+T 10 A, INCLUINDO SUPORTE E PLACA - FORNECIMENTO E INSTALAÇÃO. AF_12/2015</t>
  </si>
  <si>
    <t xml:space="preserve"> 8.1.32 </t>
  </si>
  <si>
    <t xml:space="preserve"> 92009 </t>
  </si>
  <si>
    <t xml:space="preserve">TOMADA BAIXA DE EMBUTIR (2 MÓDULOS), 2P+T 20 A, INCLUINDO SUPORTE E PLACA - FORNECIMENTO E INSTALAÇÃO. AF_12/2015</t>
  </si>
  <si>
    <t xml:space="preserve"> 8.1.33 </t>
  </si>
  <si>
    <t xml:space="preserve"> 92000 </t>
  </si>
  <si>
    <t xml:space="preserve">TOMADA BAIXA DE EMBUTIR (1 MÓDULO), 2P+T 10 A, INCLUINDO SUPORTE E PLACA - FORNECIMENTO E INSTALAÇÃO. AF_12/2015</t>
  </si>
  <si>
    <t xml:space="preserve"> 8.1.34 </t>
  </si>
  <si>
    <t xml:space="preserve"> 91992 </t>
  </si>
  <si>
    <t xml:space="preserve">TOMADA ALTA DE EMBUTIR (1 MÓDULO), 2P+T 10 A, INCLUINDO SUPORTE E PLACA - FORNECIMENTO E INSTALAÇÃO. AF_12/2015</t>
  </si>
  <si>
    <t xml:space="preserve"> 8.1.35 </t>
  </si>
  <si>
    <t xml:space="preserve"> 00038095 </t>
  </si>
  <si>
    <t xml:space="preserve">ESPELHO / PLACA CEGA 4" X 4", PARA INSTALACAO DE TOMADAS E INTERRUPTORES</t>
  </si>
  <si>
    <t xml:space="preserve">8.1.36</t>
  </si>
  <si>
    <t xml:space="preserve">PONTO DE TOMADA AR CONDICIONADO - DUTOS E TOMADAS </t>
  </si>
  <si>
    <t xml:space="preserve">8.1.37</t>
  </si>
  <si>
    <t xml:space="preserve">PONTO DE ILUMINAÇÃO E TOMADA, RESIDENCIAL, INCLUINDO INTERRUPTOR SIMPLES E TOMADA 10A/250V, CAIXA ELÉTRICA, ELETRODUTO, CABO, RASGO, QUEBRA E CHUMBAMENTO (EXCLUINDO LUMINÁRIA E LÂMPADA). AF_01/2016</t>
  </si>
  <si>
    <t xml:space="preserve">8.1.38</t>
  </si>
  <si>
    <t xml:space="preserve">PONTO DE TOMADA RESIDENCIAL INCLUINDO TOMADA (2 MÓDULOS) 10A/250V, CAIXA ELÉTRICA, ELETRODUTO, CABO, RASGO, QUEBRA E CHUMBAMENTO. AF_01/2016</t>
  </si>
  <si>
    <t xml:space="preserve">8.2</t>
  </si>
  <si>
    <t xml:space="preserve">LUMINARIAS</t>
  </si>
  <si>
    <t xml:space="preserve"> 8.2.1 </t>
  </si>
  <si>
    <t xml:space="preserve"> 060114 </t>
  </si>
  <si>
    <t xml:space="preserve">SPOT DIRECIONAVEL ARQUITETONICA USINADA CROMADO C/ DICROICA</t>
  </si>
  <si>
    <t xml:space="preserve"> 8.2.2 </t>
  </si>
  <si>
    <t xml:space="preserve"> 100903 </t>
  </si>
  <si>
    <t xml:space="preserve">LÂMPADA TUBULAR LED DE 18/20 W, BASE G13 - FORNECIMENTO E INSTALAÇÃO. AF_02/2020_P</t>
  </si>
  <si>
    <t xml:space="preserve"> 8.2.3 </t>
  </si>
  <si>
    <t xml:space="preserve"> 103788 </t>
  </si>
  <si>
    <t xml:space="preserve">LUMINÁRIA TIPO PLAFON QUADRADA, DE EMBUTIR, COM LED DE 24 W - FORNECIMENTO E INSTALAÇÃO. AF_03/2022</t>
  </si>
  <si>
    <t xml:space="preserve"> 8.2.4 </t>
  </si>
  <si>
    <t xml:space="preserve"> 060386 </t>
  </si>
  <si>
    <t xml:space="preserve">LUMINARIA PERFIL DE EMBUTIR 2M SLIM FITA LED - LUM21</t>
  </si>
  <si>
    <t xml:space="preserve"> 8.2.5 </t>
  </si>
  <si>
    <t xml:space="preserve"> COM-43203118 </t>
  </si>
  <si>
    <t xml:space="preserve">Fita LED (240 Leds /metro),  2835 - 6500k - br. frio IP-20 - 5 metros - Fornecimento e Instalação</t>
  </si>
  <si>
    <t xml:space="preserve"> 8.2.6 </t>
  </si>
  <si>
    <t xml:space="preserve"> 036524 </t>
  </si>
  <si>
    <t xml:space="preserve">FONTE PARA FITA LED ENTRADA BIVOLT AUT. (110/220V), 12V 5A</t>
  </si>
  <si>
    <t xml:space="preserve"> 8.2.7 </t>
  </si>
  <si>
    <t xml:space="preserve"> 97599 </t>
  </si>
  <si>
    <t xml:space="preserve">LUMINÁRIA DE EMERGÊNCIA, COM 30 LÂMPADAS LED DE 2 W, SEM REATOR - FORNECIMENTO E INSTALAÇÃO. AF_02/2020</t>
  </si>
  <si>
    <t xml:space="preserve">LOGICA</t>
  </si>
  <si>
    <t xml:space="preserve"> 9.1 </t>
  </si>
  <si>
    <t xml:space="preserve"> 9.2 </t>
  </si>
  <si>
    <t xml:space="preserve"> 93010 </t>
  </si>
  <si>
    <t xml:space="preserve">ELETRODUTO RÍGIDO ROSCÁVEL, PVC, DN 75 MM (2 1/2"), PARA REDE ENTERRADA DE DISTRIBUIÇÃO DE ENERGIA ELÉTRICA - FORNECIMENTO E INSTALAÇÃO. AF_12/2021</t>
  </si>
  <si>
    <t xml:space="preserve"> 9.3 </t>
  </si>
  <si>
    <t xml:space="preserve"> 93008 </t>
  </si>
  <si>
    <t xml:space="preserve">ELETRODUTO RÍGIDO ROSCÁVEL, PVC, DN 50 MM (1 1/2"), PARA REDE ENTERRADA DE DISTRIBUIÇÃO DE ENERGIA ELÉTRICA - FORNECIMENTO E INSTALAÇÃO. AF_12/2021</t>
  </si>
  <si>
    <t xml:space="preserve"> 9.4 </t>
  </si>
  <si>
    <t xml:space="preserve"> 9.5 </t>
  </si>
  <si>
    <t xml:space="preserve"> 93018 </t>
  </si>
  <si>
    <t xml:space="preserve">CURVA 90 GRAUS PARA ELETRODUTO, PVC, ROSCÁVEL, DN 50 MM (1 1/2"), PARA REDE ENTERRADA DE DISTRIBUIÇÃO DE ENERGIA ELÉTRICA - FORNECIMENTO E INSTALAÇÃO. AF_12/2021</t>
  </si>
  <si>
    <t xml:space="preserve"> 9.6 </t>
  </si>
  <si>
    <t xml:space="preserve"> 93022 </t>
  </si>
  <si>
    <t xml:space="preserve">CURVA 90 GRAUS PARA ELETRODUTO, PVC, ROSCÁVEL, DN 75 MM (2 1/2"), PARA REDE ENTERRADA DE DISTRIBUIÇÃO DE ENERGIA ELÉTRICA - FORNECIMENTO E INSTALAÇÃO. AF_12/2021</t>
  </si>
  <si>
    <t xml:space="preserve"> 9.7 </t>
  </si>
  <si>
    <t xml:space="preserve"> 9.8 </t>
  </si>
  <si>
    <t xml:space="preserve"> 00002576 </t>
  </si>
  <si>
    <t xml:space="preserve">CONDULETE DE ALUMINIO TIPO T, PARA ELETRODUTO ROSCAVEL DE 1 1/2", COM TAMPA CEGA</t>
  </si>
  <si>
    <t xml:space="preserve"> 9.9 </t>
  </si>
  <si>
    <t xml:space="preserve"> 00002582 </t>
  </si>
  <si>
    <t xml:space="preserve">CONDULETE DE ALUMINIO TIPO X, PARA ELETRODUTO ROSCAVEL DE 1 1/2", COM TAMPA CEGA</t>
  </si>
  <si>
    <t xml:space="preserve"> 9.10</t>
  </si>
  <si>
    <t xml:space="preserve"> 059451 </t>
  </si>
  <si>
    <t xml:space="preserve">CABO DE PAR TRANCADO UTP, 4 PARES, CATEGORIA 6</t>
  </si>
  <si>
    <t xml:space="preserve"> 9.11 </t>
  </si>
  <si>
    <t xml:space="preserve">CERTIFICAO DE REDE LOGICA CAT. 6 COM EMISSAO DE RELATORIO</t>
  </si>
  <si>
    <t xml:space="preserve">SONORIZAÇÃO</t>
  </si>
  <si>
    <t xml:space="preserve">10.1</t>
  </si>
  <si>
    <t xml:space="preserve"> 10.2 </t>
  </si>
  <si>
    <t xml:space="preserve"> 10.3 </t>
  </si>
  <si>
    <t xml:space="preserve"> 10.4 </t>
  </si>
  <si>
    <t xml:space="preserve"> 10.5 </t>
  </si>
  <si>
    <t xml:space="preserve"> 10.6 </t>
  </si>
  <si>
    <t xml:space="preserve"> 10.7 </t>
  </si>
  <si>
    <t xml:space="preserve"> 10.8 </t>
  </si>
  <si>
    <t xml:space="preserve"> 10.9 </t>
  </si>
  <si>
    <t xml:space="preserve">ESQUADRIA</t>
  </si>
  <si>
    <t xml:space="preserve">11.1</t>
  </si>
  <si>
    <t xml:space="preserve">KIT DE PORTA-PRONTA DE MADEIRA EM ACABAMENTO MELAMÍNICO BRANCO, FOLHA PESADA OU SUPERPESADA, 90X210CM, FIXAÇÃO COM PREENCHIMENTO TOTAL DE ESPUMA EXPANSIVA - FORNECIMENTO E INSTALAÇÃO. AF_12/2019</t>
  </si>
  <si>
    <t xml:space="preserve">PISO</t>
  </si>
  <si>
    <t xml:space="preserve"> 12.1 </t>
  </si>
  <si>
    <t xml:space="preserve"> 87298 </t>
  </si>
  <si>
    <t xml:space="preserve">ARGAMASSA TRAÇO 1:3 (EM VOLUME DE CIMENTO E AREIA MÉDIA ÚMIDA) PARA CONTRAPISO, PREPARO MECÂNICO COM BETONEIRA 400 L. AF_08/2019</t>
  </si>
  <si>
    <t xml:space="preserve">12.2</t>
  </si>
  <si>
    <t xml:space="preserve"> 98671 </t>
  </si>
  <si>
    <t xml:space="preserve">PISO EM GRANITO APLICADO EM AMBIENTES INTERNOS. AF_09/2020</t>
  </si>
  <si>
    <t xml:space="preserve">12.3</t>
  </si>
  <si>
    <t xml:space="preserve">POLIMENTO PISOS GRANITO</t>
  </si>
  <si>
    <t xml:space="preserve">12.4</t>
  </si>
  <si>
    <t xml:space="preserve">EXECUÇÃO DE PASSEIO (CALÇADA) OU PISO DE CONCRETO COM CONCRETO MOLDADO IN LOCO, FEITO EM OBRA, ACABAMENTO CONVENCIONAL, NÃO ARMADO. AF_08/2022</t>
  </si>
  <si>
    <t xml:space="preserve">FORRO</t>
  </si>
  <si>
    <t xml:space="preserve"> 13.1 </t>
  </si>
  <si>
    <t xml:space="preserve"> 96114 </t>
  </si>
  <si>
    <t xml:space="preserve">FORRO EM DRYWALL, PARA AMBIENTES COMERCIAIS, INCLUSIVE ESTRUTURA DE FIXAÇÃO. AF_05/2017_P</t>
  </si>
  <si>
    <t xml:space="preserve">PINTURA</t>
  </si>
  <si>
    <t xml:space="preserve">14.1</t>
  </si>
  <si>
    <t xml:space="preserve">APLICAÇÃO DE FUNDO SELADOR ACRÍLICO EM PAREDES, UMA DEMÃO</t>
  </si>
  <si>
    <t xml:space="preserve">14.2</t>
  </si>
  <si>
    <t xml:space="preserve">APLICAÇÃO E LIXAMENTO DE MASSA LÁTEX EM PAREDES, M2 1,25
DUAS DEMÃOS.</t>
  </si>
  <si>
    <t xml:space="preserve">14.3</t>
  </si>
  <si>
    <t xml:space="preserve">APLICAÇÃO MANUAL DE PINTURA COM TINTA LÁTEX ACRÍLICA EM PAREDES, DUAS DEMÃOS.
AF_06/2014</t>
  </si>
  <si>
    <t xml:space="preserve"> 14.4 </t>
  </si>
  <si>
    <t xml:space="preserve"> 88484 </t>
  </si>
  <si>
    <t xml:space="preserve">APLICAÇÃO DE FUNDO SELADOR ACRÍLICO EM TETO, UMA DEMÃO. AF_06/2014</t>
  </si>
  <si>
    <t xml:space="preserve"> 14.5 </t>
  </si>
  <si>
    <t xml:space="preserve"> 88494 </t>
  </si>
  <si>
    <t xml:space="preserve">APLICAÇÃO E LIXAMENTO DE MASSA LÁTEX EM TETO, UMA DEMÃO. AF_06/2014</t>
  </si>
  <si>
    <t xml:space="preserve"> 14.6 </t>
  </si>
  <si>
    <t xml:space="preserve"> 88488 </t>
  </si>
  <si>
    <t xml:space="preserve">APLICAÇÃO MANUAL DE PINTURA COM TINTA LÁTEX ACRÍLICA EM TETO, DUAS DEMÃOS. AF_06/2014</t>
  </si>
  <si>
    <t xml:space="preserve">CLIMATIZAÇÃO</t>
  </si>
  <si>
    <t xml:space="preserve"> 15.1 </t>
  </si>
  <si>
    <t xml:space="preserve"> 103274 </t>
  </si>
  <si>
    <t xml:space="preserve">AR CONDICIONADO SPLIT ON/OFF, CASSETE (TETO), FRIO 4 VIAS 36000 BTU/H - FORNECIMENTO E INSTALAÇÃO. AF_11/2021_P - BDI = 16,32</t>
  </si>
  <si>
    <t xml:space="preserve">15.1</t>
  </si>
  <si>
    <t xml:space="preserve">TUBO EM COBRE FLEXÍVEL, DN 3/8", COM ISOLAMENTO, INSTALADO EM RAMAL DE ALIMENTAÇÃO DE AR CONDICIONADO COM CONDENSADORA INDIVIDUAL  FORNECIMENTO E INSTALAÇÃO. AF_12/2015</t>
  </si>
  <si>
    <t xml:space="preserve">15.2</t>
  </si>
  <si>
    <t xml:space="preserve">TUBO, PVC, SOLDÁVEL, DN 25MM, INSTALADO EM DRENO DE AR-CONDICIONADO - FORNECIMENTO E INSTALAÇÃO. AF_08/2022</t>
  </si>
  <si>
    <t xml:space="preserve">LIMPEZA </t>
  </si>
  <si>
    <t xml:space="preserve"> 16.1 </t>
  </si>
  <si>
    <t xml:space="preserve"> 017361 </t>
  </si>
  <si>
    <t xml:space="preserve">TRANSPORTE HORIZONTAL MANUAL MAT. 1a.CAT./ENTULHO ATE 60m</t>
  </si>
  <si>
    <t xml:space="preserve"> 16.2 </t>
  </si>
  <si>
    <t xml:space="preserve"> 008787 </t>
  </si>
  <si>
    <t xml:space="preserve">ENTULHO EM CAMINHAO CUSTO BOTA/FORA P/m3</t>
  </si>
  <si>
    <t xml:space="preserve"> 16.3 </t>
  </si>
  <si>
    <t xml:space="preserve"> 99802 </t>
  </si>
  <si>
    <t xml:space="preserve">LIMPEZA DE PISO CERÂMICO OU PORCELANATO COM VASSOURA A SECO. AF_04/2019</t>
  </si>
  <si>
    <t xml:space="preserve">VIDROS</t>
  </si>
  <si>
    <t xml:space="preserve">17.1</t>
  </si>
  <si>
    <t xml:space="preserve">INSTALAÇÃO DE VIDRO TEMPERADO, E = 8 MM, ENCAIXADO EM PERFIL U. AF_01/2021_PS</t>
  </si>
  <si>
    <t xml:space="preserve">17.2</t>
  </si>
  <si>
    <t xml:space="preserve">ESPELHO CRISTAL, ESPESSURA 4 MM, ADERIDO COM ADESIVO FIXA-ESPELHO E FITA DUPLA-FACE, COM MOLDURA DE MADEIRA APARAFUSADA NA PAREDE, COM ÁREA MAIOR QUE 1,0 M2. AF_01/2021</t>
  </si>
  <si>
    <t xml:space="preserve">METAIS</t>
  </si>
  <si>
    <t xml:space="preserve">18.1</t>
  </si>
  <si>
    <t xml:space="preserve">CORRIMÃO SIMPLES, DIÂMETRO EXTERNO = 1 1/2, EM AÇO GALVANIZADO. AF_04/2019_PS</t>
  </si>
  <si>
    <t xml:space="preserve">EQUIPAMENTOS</t>
  </si>
  <si>
    <t xml:space="preserve">19.1</t>
  </si>
  <si>
    <t xml:space="preserve">Flap para TV até 55", Bivolt - Fornecimento</t>
  </si>
  <si>
    <t xml:space="preserve">19.2</t>
  </si>
  <si>
    <t xml:space="preserve">Mini Rack Parede Padrão 19 12u X 570mm Preto - Fornecimento e Instalação </t>
  </si>
  <si>
    <t xml:space="preserve">19.3</t>
  </si>
  <si>
    <t xml:space="preserve">Rack Piso 19" 24U 870MM Preto - Fornecimento e Instalação </t>
  </si>
  <si>
    <t xml:space="preserve">19.4</t>
  </si>
  <si>
    <t xml:space="preserve">REMOÇÃO DE FLAP  DE TETO PARA TV 55" POLEGADAS - SOMENTE MÃO DE OBRA</t>
  </si>
  <si>
    <t xml:space="preserve">19.5</t>
  </si>
  <si>
    <t xml:space="preserve">INSTALAÇÃO DE FLAP DE TETO PARA TV 65" POLEGADAS GAIA GLC- 295 1500 - SOMENTE MÃO DE OBRA</t>
  </si>
  <si>
    <t xml:space="preserve">TOTAL R$</t>
  </si>
  <si>
    <t xml:space="preserve">ASSINATURAS:</t>
  </si>
  <si>
    <t xml:space="preserve">CONTRATADA:</t>
  </si>
  <si>
    <t xml:space="preserve">DANIEL PINHEIRO BARRETO
Eng. Civil de obras</t>
  </si>
  <si>
    <t xml:space="preserve">Fiscal de Obras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</si>
</sst>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#,##0.00\ %"/>
    <numFmt numFmtId="167" formatCode="0.00%"/>
    <numFmt numFmtId="168" formatCode="#,##0"/>
    <numFmt numFmtId="169" formatCode="_-&quot;R$ &quot;* #,##0.00_-;&quot;-R$ &quot;* #,##0.00_-;_-&quot;R$ &quot;* \-??_-;_-@_-"/>
    <numFmt numFmtId="170" formatCode="#,##0\ %"/>
  </numFmts>
  <fonts count="30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6"/>
      <color rgb="FF000000"/>
      <name val="Arial"/>
      <family val="2"/>
      <charset val="1"/>
    </font>
    <font>
      <b val="true"/>
      <sz val="16"/>
      <color rgb="FF000000"/>
      <name val="Arial1"/>
      <family val="0"/>
      <charset val="1"/>
    </font>
    <font>
      <sz val="16"/>
      <color rgb="FF000000"/>
      <name val="Arial1"/>
      <family val="0"/>
      <charset val="1"/>
    </font>
    <font>
      <b val="true"/>
      <sz val="16"/>
      <color rgb="FF000000"/>
      <name val="Arial"/>
      <family val="2"/>
      <charset val="1"/>
    </font>
    <font>
      <b val="true"/>
      <sz val="11"/>
      <color rgb="FF000000"/>
      <name val="Arial1"/>
      <family val="0"/>
      <charset val="1"/>
    </font>
    <font>
      <sz val="11"/>
      <color rgb="FF000000"/>
      <name val="Arial1"/>
      <family val="0"/>
      <charset val="1"/>
    </font>
    <font>
      <b val="true"/>
      <sz val="11"/>
      <color rgb="FF000000"/>
      <name val="Arial"/>
      <family val="2"/>
      <charset val="1"/>
    </font>
    <font>
      <sz val="16"/>
      <color rgb="FFFF0000"/>
      <name val="Arial1"/>
      <family val="0"/>
      <charset val="1"/>
    </font>
    <font>
      <sz val="16"/>
      <name val="Arial1"/>
      <family val="0"/>
      <charset val="1"/>
    </font>
    <font>
      <sz val="9"/>
      <color rgb="FF000000"/>
      <name val="Segoe UI"/>
      <family val="0"/>
      <charset val="1"/>
    </font>
    <font>
      <b val="true"/>
      <sz val="18"/>
      <color rgb="FF4F6228"/>
      <name val="Arial"/>
      <family val="2"/>
    </font>
    <font>
      <b val="true"/>
      <sz val="18"/>
      <color rgb="FF002060"/>
      <name val="Arial"/>
      <family val="2"/>
    </font>
    <font>
      <sz val="18"/>
      <color rgb="FF002060"/>
      <name val="Arial"/>
      <family val="2"/>
    </font>
    <font>
      <sz val="20"/>
      <color rgb="FF00206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  <fill>
      <patternFill patternType="solid">
        <fgColor rgb="FF00B0F0"/>
        <bgColor rgb="FF33CC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9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9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9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9" borderId="7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7" fillId="11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11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1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7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7" fillId="11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9" fillId="11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9" fillId="11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11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9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9" fillId="11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3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11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9" fillId="11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23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8" fillId="9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8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9" fillId="11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6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0" borderId="6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0" fontId="17" fillId="0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1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" xfId="28"/>
    <cellStyle name="Heading 1 12" xfId="29"/>
    <cellStyle name="Heading 2 13" xfId="30"/>
    <cellStyle name="Hyperlink 14" xfId="31"/>
    <cellStyle name="Neutral 15" xfId="32"/>
    <cellStyle name="Note 16" xfId="33"/>
    <cellStyle name="Status 17" xfId="34"/>
    <cellStyle name="Text 18" xfId="35"/>
    <cellStyle name="Warning 19" xfId="36"/>
  </cellStyles>
  <dxfs count="5">
    <dxf>
      <fill>
        <patternFill patternType="solid">
          <fgColor rgb="FF00B0F0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4F6228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428760</xdr:colOff>
      <xdr:row>0</xdr:row>
      <xdr:rowOff>214200</xdr:rowOff>
    </xdr:from>
    <xdr:to>
      <xdr:col>2</xdr:col>
      <xdr:colOff>406800</xdr:colOff>
      <xdr:row>1</xdr:row>
      <xdr:rowOff>228960</xdr:rowOff>
    </xdr:to>
    <xdr:pic>
      <xdr:nvPicPr>
        <xdr:cNvPr id="0" name="Imagem 3" descr=""/>
        <xdr:cNvPicPr/>
      </xdr:nvPicPr>
      <xdr:blipFill>
        <a:blip r:embed="rId1"/>
        <a:stretch/>
      </xdr:blipFill>
      <xdr:spPr>
        <a:xfrm>
          <a:off x="428760" y="214200"/>
          <a:ext cx="3513240" cy="14911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1172160</xdr:colOff>
      <xdr:row>0</xdr:row>
      <xdr:rowOff>167040</xdr:rowOff>
    </xdr:from>
    <xdr:to>
      <xdr:col>9</xdr:col>
      <xdr:colOff>951480</xdr:colOff>
      <xdr:row>1</xdr:row>
      <xdr:rowOff>452520</xdr:rowOff>
    </xdr:to>
    <xdr:sp>
      <xdr:nvSpPr>
        <xdr:cNvPr id="1" name="Caixa de Texto 6"/>
        <xdr:cNvSpPr/>
      </xdr:nvSpPr>
      <xdr:spPr>
        <a:xfrm>
          <a:off x="15185520" y="167040"/>
          <a:ext cx="5163480" cy="1761840"/>
        </a:xfrm>
        <a:prstGeom prst="rect">
          <a:avLst/>
        </a:prstGeom>
        <a:solidFill>
          <a:srgbClr val="ffffff"/>
        </a:solidFill>
        <a:ln w="6350">
          <a:noFill/>
        </a:ln>
      </xdr:spPr>
      <xdr:style>
        <a:lnRef idx="0"/>
        <a:fillRef idx="0"/>
        <a:effectRef idx="0"/>
        <a:fontRef idx="minor"/>
      </xdr:style>
      <xdr:txBody>
        <a:bodyPr numCol="1" spcCol="0" anchor="t">
          <a:noAutofit/>
        </a:bodyPr>
        <a:p>
          <a:pPr algn="r">
            <a:lnSpc>
              <a:spcPct val="100000"/>
            </a:lnSpc>
            <a:tabLst>
              <a:tab algn="ctr" pos="2700000"/>
              <a:tab algn="r" pos="5400000"/>
            </a:tabLst>
          </a:pPr>
          <a:r>
            <a:rPr b="1" lang="pt-BR" sz="1800" spc="-1" strike="noStrike">
              <a:solidFill>
                <a:srgbClr val="4f6228"/>
              </a:solidFill>
              <a:latin typeface="Arial"/>
              <a:ea typeface="Calibri"/>
            </a:rPr>
            <a:t>                                                                                              </a:t>
          </a:r>
          <a:r>
            <a:rPr b="1" lang="pt-BR" sz="1800" spc="-1" strike="noStrike">
              <a:solidFill>
                <a:srgbClr val="4f6228"/>
              </a:solidFill>
              <a:latin typeface="Arial"/>
              <a:ea typeface="Calibri"/>
            </a:rPr>
            <a:t>	</a:t>
          </a:r>
          <a:r>
            <a:rPr b="1" lang="pt-BR" sz="1800" spc="-1" strike="noStrike">
              <a:solidFill>
                <a:srgbClr val="4f6228"/>
              </a:solidFill>
              <a:latin typeface="Arial"/>
              <a:ea typeface="Calibri"/>
            </a:rPr>
            <a:t>	</a:t>
          </a:r>
          <a:r>
            <a:rPr b="1" lang="pt-BR" sz="1800" spc="-1" strike="noStrike">
              <a:solidFill>
                <a:srgbClr val="002060"/>
              </a:solidFill>
              <a:latin typeface="Arial"/>
              <a:ea typeface="Calibri"/>
            </a:rPr>
            <a:t>F1 CONSTRUCOES E NAUTICA EIRELI</a:t>
          </a:r>
          <a:endParaRPr b="0" lang="pt-BR" sz="1800" spc="-1" strike="noStrike">
            <a:latin typeface="Times New Roman"/>
          </a:endParaRPr>
        </a:p>
        <a:p>
          <a:pPr algn="r">
            <a:lnSpc>
              <a:spcPct val="100000"/>
            </a:lnSpc>
            <a:tabLst>
              <a:tab algn="ctr" pos="2700000"/>
              <a:tab algn="r" pos="5400000"/>
            </a:tabLst>
          </a:pPr>
          <a:r>
            <a:rPr b="0" lang="pt-BR" sz="1800" spc="-1" strike="noStrike">
              <a:solidFill>
                <a:srgbClr val="002060"/>
              </a:solidFill>
              <a:latin typeface="Arial"/>
              <a:ea typeface="Calibri"/>
            </a:rPr>
            <a:t>Av. André Araújo, 1278, Sala 02, São Francisco </a:t>
          </a:r>
          <a:endParaRPr b="0" lang="pt-BR" sz="1800" spc="-1" strike="noStrike">
            <a:latin typeface="Times New Roman"/>
          </a:endParaRPr>
        </a:p>
        <a:p>
          <a:pPr algn="r">
            <a:lnSpc>
              <a:spcPct val="100000"/>
            </a:lnSpc>
            <a:tabLst>
              <a:tab algn="l" pos="449640"/>
              <a:tab algn="ctr" pos="2700000"/>
              <a:tab algn="r" pos="5400000"/>
            </a:tabLst>
          </a:pPr>
          <a:r>
            <a:rPr b="0" lang="pt-BR" sz="1800" spc="-1" strike="noStrike">
              <a:solidFill>
                <a:srgbClr val="002060"/>
              </a:solidFill>
              <a:latin typeface="Arial"/>
              <a:ea typeface="Calibri"/>
            </a:rPr>
            <a:t>CEP:</a:t>
          </a:r>
          <a:r>
            <a:rPr b="0" lang="pt-BR" sz="2000" spc="-1" strike="noStrike">
              <a:solidFill>
                <a:srgbClr val="002060"/>
              </a:solidFill>
              <a:latin typeface="Arial Narrow"/>
              <a:ea typeface="Calibri"/>
            </a:rPr>
            <a:t> </a:t>
          </a:r>
          <a:r>
            <a:rPr b="0" lang="pt-BR" sz="1800" spc="-1" strike="noStrike">
              <a:solidFill>
                <a:srgbClr val="002060"/>
              </a:solidFill>
              <a:latin typeface="Arial"/>
              <a:ea typeface="Calibri"/>
            </a:rPr>
            <a:t>69079-215</a:t>
          </a:r>
          <a:endParaRPr b="0" lang="pt-BR" sz="1800" spc="-1" strike="noStrike">
            <a:latin typeface="Times New Roman"/>
          </a:endParaRPr>
        </a:p>
        <a:p>
          <a:pPr algn="r">
            <a:lnSpc>
              <a:spcPct val="107000"/>
            </a:lnSpc>
            <a:spcAft>
              <a:spcPts val="799"/>
            </a:spcAft>
            <a:tabLst>
              <a:tab algn="l" pos="449640"/>
              <a:tab algn="ctr" pos="2700000"/>
              <a:tab algn="r" pos="5400000"/>
            </a:tabLst>
          </a:pPr>
          <a:r>
            <a:rPr b="0" lang="pt-BR" sz="1800" spc="-1" strike="noStrike">
              <a:solidFill>
                <a:srgbClr val="002060"/>
              </a:solidFill>
              <a:latin typeface="Arial"/>
              <a:ea typeface="Calibri"/>
            </a:rPr>
            <a:t>CNPJ: 06.939.058/0001-81</a:t>
          </a:r>
          <a:endParaRPr b="0" lang="pt-BR" sz="18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H161"/>
  <sheetViews>
    <sheetView showFormulas="false" showGridLines="false" showRowColHeaders="true" showZeros="true" rightToLeft="false" tabSelected="true" showOutlineSymbols="true" defaultGridColor="true" view="pageBreakPreview" topLeftCell="A1" colorId="64" zoomScale="40" zoomScaleNormal="100" zoomScalePageLayoutView="40" workbookViewId="0">
      <selection pane="topLeft" activeCell="D166" activeCellId="0" sqref="D166"/>
    </sheetView>
  </sheetViews>
  <sheetFormatPr defaultColWidth="8.6171875" defaultRowHeight="19.7" zeroHeight="false" outlineLevelRow="0" outlineLevelCol="0"/>
  <cols>
    <col collapsed="false" customWidth="true" hidden="false" outlineLevel="0" max="1" min="1" style="1" width="26.26"/>
    <col collapsed="false" customWidth="true" hidden="false" outlineLevel="0" max="2" min="2" style="1" width="19.38"/>
    <col collapsed="false" customWidth="true" hidden="false" outlineLevel="0" max="3" min="3" style="1" width="13.5"/>
    <col collapsed="false" customWidth="true" hidden="false" outlineLevel="0" max="4" min="4" style="1" width="90"/>
    <col collapsed="false" customWidth="true" hidden="false" outlineLevel="0" max="5" min="5" style="1" width="10.75"/>
    <col collapsed="false" customWidth="true" hidden="false" outlineLevel="0" max="8" min="6" style="1" width="21"/>
    <col collapsed="false" customWidth="true" hidden="false" outlineLevel="0" max="9" min="9" style="1" width="27.5"/>
    <col collapsed="false" customWidth="true" hidden="false" outlineLevel="0" max="10" min="10" style="1" width="16.38"/>
    <col collapsed="false" customWidth="true" hidden="false" outlineLevel="0" max="1010" min="11" style="0" width="8.75"/>
    <col collapsed="false" customWidth="true" hidden="false" outlineLevel="0" max="1011" min="1011" style="0" width="9"/>
    <col collapsed="false" customWidth="true" hidden="false" outlineLevel="0" max="16384" min="16373" style="0" width="10.49"/>
  </cols>
  <sheetData>
    <row r="1" customFormat="false" ht="116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2" customFormat="false" ht="4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4" customFormat="true" ht="42" hidden="false" customHeight="true" outlineLevel="0" collapsed="false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</row>
    <row r="4" s="4" customFormat="true" ht="44.25" hidden="false" customHeight="true" outlineLevel="0" collapsed="false">
      <c r="A4" s="5" t="s">
        <v>1</v>
      </c>
      <c r="B4" s="6" t="s">
        <v>2</v>
      </c>
      <c r="C4" s="7"/>
      <c r="D4" s="7"/>
      <c r="E4" s="7"/>
      <c r="F4" s="7"/>
      <c r="G4" s="7"/>
      <c r="H4" s="7"/>
      <c r="I4" s="7"/>
      <c r="J4" s="7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</row>
    <row r="5" s="4" customFormat="true" ht="45" hidden="false" customHeight="true" outlineLevel="0" collapsed="false">
      <c r="A5" s="8" t="s">
        <v>3</v>
      </c>
      <c r="B5" s="9" t="s">
        <v>4</v>
      </c>
      <c r="C5" s="10"/>
      <c r="D5" s="10"/>
      <c r="E5" s="10"/>
      <c r="F5" s="10"/>
      <c r="G5" s="10"/>
      <c r="H5" s="10"/>
      <c r="I5" s="10"/>
      <c r="J5" s="1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</row>
    <row r="6" s="4" customFormat="true" ht="30" hidden="false" customHeight="true" outlineLevel="0" collapsed="false">
      <c r="A6" s="11" t="s">
        <v>5</v>
      </c>
      <c r="B6" s="10"/>
      <c r="C6" s="12"/>
      <c r="D6" s="12"/>
      <c r="E6" s="12"/>
      <c r="F6" s="12"/>
      <c r="G6" s="12"/>
      <c r="H6" s="12"/>
      <c r="I6" s="12"/>
      <c r="J6" s="12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</row>
    <row r="7" customFormat="false" ht="29.25" hidden="false" customHeight="true" outlineLevel="0" collapsed="false">
      <c r="A7" s="13" t="s">
        <v>6</v>
      </c>
      <c r="B7" s="13"/>
      <c r="C7" s="13"/>
      <c r="D7" s="13"/>
      <c r="E7" s="13"/>
      <c r="F7" s="13"/>
      <c r="G7" s="13"/>
      <c r="H7" s="13"/>
      <c r="I7" s="13"/>
      <c r="J7" s="13"/>
    </row>
    <row r="8" s="14" customFormat="true" ht="72.75" hidden="false" customHeight="true" outlineLevel="0" collapsed="false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</row>
    <row r="9" s="20" customFormat="true" ht="27" hidden="false" customHeight="true" outlineLevel="0" collapsed="false">
      <c r="A9" s="15" t="s">
        <v>17</v>
      </c>
      <c r="B9" s="16"/>
      <c r="C9" s="16"/>
      <c r="D9" s="17" t="s">
        <v>18</v>
      </c>
      <c r="E9" s="18"/>
      <c r="F9" s="16"/>
      <c r="G9" s="16"/>
      <c r="H9" s="16"/>
      <c r="I9" s="16" t="n">
        <f aca="false">SUM(I10:I10)</f>
        <v>13075.5</v>
      </c>
      <c r="J9" s="19" t="n">
        <f aca="false">SUM(J10)</f>
        <v>0.0451143134024396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</row>
    <row r="10" s="27" customFormat="true" ht="77.25" hidden="false" customHeight="true" outlineLevel="0" collapsed="false">
      <c r="A10" s="21" t="s">
        <v>19</v>
      </c>
      <c r="B10" s="22" t="n">
        <v>93572</v>
      </c>
      <c r="C10" s="23" t="s">
        <v>20</v>
      </c>
      <c r="D10" s="24" t="s">
        <v>21</v>
      </c>
      <c r="E10" s="25" t="s">
        <v>22</v>
      </c>
      <c r="F10" s="23" t="n">
        <v>2</v>
      </c>
      <c r="G10" s="23" t="n">
        <v>5093.69</v>
      </c>
      <c r="H10" s="23" t="n">
        <f aca="false">G10*1.2835</f>
        <v>6537.751115</v>
      </c>
      <c r="I10" s="23" t="n">
        <f aca="false">TRUNC(H10*F10,2)</f>
        <v>13075.5</v>
      </c>
      <c r="J10" s="26" t="n">
        <f aca="false">I10/$I$154</f>
        <v>0.0451143134024396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</row>
    <row r="11" s="33" customFormat="true" ht="33" hidden="false" customHeight="true" outlineLevel="0" collapsed="false">
      <c r="A11" s="28" t="s">
        <v>23</v>
      </c>
      <c r="B11" s="29"/>
      <c r="C11" s="29"/>
      <c r="D11" s="30" t="s">
        <v>24</v>
      </c>
      <c r="E11" s="31"/>
      <c r="F11" s="29"/>
      <c r="G11" s="29"/>
      <c r="H11" s="29"/>
      <c r="I11" s="29" t="n">
        <f aca="false">SUM(I12:I14)</f>
        <v>12922.73</v>
      </c>
      <c r="J11" s="32" t="n">
        <f aca="false">SUM(J12:J14)</f>
        <v>0.0445872120557614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</row>
    <row r="12" s="33" customFormat="true" ht="73.5" hidden="false" customHeight="true" outlineLevel="0" collapsed="false">
      <c r="A12" s="21" t="s">
        <v>25</v>
      </c>
      <c r="B12" s="23" t="s">
        <v>26</v>
      </c>
      <c r="C12" s="23" t="s">
        <v>27</v>
      </c>
      <c r="D12" s="24" t="s">
        <v>28</v>
      </c>
      <c r="E12" s="25" t="s">
        <v>29</v>
      </c>
      <c r="F12" s="23" t="n">
        <v>1</v>
      </c>
      <c r="G12" s="23" t="n">
        <v>1161.18</v>
      </c>
      <c r="H12" s="23" t="n">
        <v>1490.37</v>
      </c>
      <c r="I12" s="23" t="n">
        <f aca="false">TRUNC(H12*F12,2)</f>
        <v>1490.37</v>
      </c>
      <c r="J12" s="26" t="n">
        <f aca="false">I12/$I$154</f>
        <v>0.00514221400830514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</row>
    <row r="13" s="33" customFormat="true" ht="80.25" hidden="false" customHeight="true" outlineLevel="0" collapsed="false">
      <c r="A13" s="34" t="s">
        <v>30</v>
      </c>
      <c r="B13" s="35" t="s">
        <v>31</v>
      </c>
      <c r="C13" s="35" t="s">
        <v>32</v>
      </c>
      <c r="D13" s="36" t="s">
        <v>33</v>
      </c>
      <c r="E13" s="37" t="s">
        <v>29</v>
      </c>
      <c r="F13" s="35" t="n">
        <v>1</v>
      </c>
      <c r="G13" s="35" t="n">
        <v>732.8</v>
      </c>
      <c r="H13" s="35" t="n">
        <v>940.54</v>
      </c>
      <c r="I13" s="35"/>
      <c r="J13" s="26" t="n">
        <f aca="false">I13/$I$154</f>
        <v>0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</row>
    <row r="14" s="27" customFormat="true" ht="80.25" hidden="false" customHeight="true" outlineLevel="0" collapsed="false">
      <c r="A14" s="21" t="s">
        <v>34</v>
      </c>
      <c r="B14" s="23" t="s">
        <v>35</v>
      </c>
      <c r="C14" s="23" t="s">
        <v>27</v>
      </c>
      <c r="D14" s="24" t="s">
        <v>36</v>
      </c>
      <c r="E14" s="25" t="s">
        <v>37</v>
      </c>
      <c r="F14" s="23" t="n">
        <v>72</v>
      </c>
      <c r="G14" s="23" t="n">
        <v>146.49</v>
      </c>
      <c r="H14" s="23" t="n">
        <v>158.78289</v>
      </c>
      <c r="I14" s="23" t="n">
        <f aca="false">TRUNC(H14*F14,2)</f>
        <v>11432.36</v>
      </c>
      <c r="J14" s="26" t="n">
        <f aca="false">I14/$I$154</f>
        <v>0.0394449980474563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</row>
    <row r="15" s="27" customFormat="true" ht="36" hidden="false" customHeight="true" outlineLevel="0" collapsed="false">
      <c r="A15" s="38" t="n">
        <v>3</v>
      </c>
      <c r="B15" s="29"/>
      <c r="C15" s="29"/>
      <c r="D15" s="30" t="s">
        <v>38</v>
      </c>
      <c r="E15" s="31"/>
      <c r="F15" s="29"/>
      <c r="G15" s="29"/>
      <c r="H15" s="29"/>
      <c r="I15" s="29" t="n">
        <f aca="false">SUM(I16:I18)</f>
        <v>5138.56</v>
      </c>
      <c r="J15" s="39" t="n">
        <f aca="false">SUM(J16:J18)</f>
        <v>0.0177295404594272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</row>
    <row r="16" s="27" customFormat="true" ht="80.25" hidden="false" customHeight="true" outlineLevel="0" collapsed="false">
      <c r="A16" s="21" t="s">
        <v>39</v>
      </c>
      <c r="B16" s="23" t="n">
        <v>10775</v>
      </c>
      <c r="C16" s="23" t="s">
        <v>20</v>
      </c>
      <c r="D16" s="24" t="s">
        <v>40</v>
      </c>
      <c r="E16" s="25" t="s">
        <v>22</v>
      </c>
      <c r="F16" s="23" t="n">
        <v>2</v>
      </c>
      <c r="G16" s="23" t="n">
        <v>680.62</v>
      </c>
      <c r="H16" s="23" t="n">
        <v>873.57</v>
      </c>
      <c r="I16" s="23" t="n">
        <f aca="false">TRUNC(H16*F16,2)</f>
        <v>1747.14</v>
      </c>
      <c r="J16" s="26" t="n">
        <f aca="false">I16/$I$154</f>
        <v>0.00602814588489452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</row>
    <row r="17" s="27" customFormat="true" ht="80.25" hidden="false" customHeight="true" outlineLevel="0" collapsed="false">
      <c r="A17" s="21" t="s">
        <v>41</v>
      </c>
      <c r="B17" s="23" t="n">
        <v>10777</v>
      </c>
      <c r="C17" s="23" t="s">
        <v>20</v>
      </c>
      <c r="D17" s="24" t="s">
        <v>42</v>
      </c>
      <c r="E17" s="25" t="s">
        <v>22</v>
      </c>
      <c r="F17" s="23" t="n">
        <v>2</v>
      </c>
      <c r="G17" s="23" t="n">
        <v>772.78</v>
      </c>
      <c r="H17" s="23" t="n">
        <v>991.86</v>
      </c>
      <c r="I17" s="23" t="n">
        <f aca="false">TRUNC(H17*F17,2)</f>
        <v>1983.72</v>
      </c>
      <c r="J17" s="26" t="n">
        <f aca="false">I17/$I$154</f>
        <v>0.00684441633457133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</row>
    <row r="18" s="27" customFormat="true" ht="58.5" hidden="false" customHeight="true" outlineLevel="0" collapsed="false">
      <c r="A18" s="21" t="s">
        <v>43</v>
      </c>
      <c r="B18" s="23" t="n">
        <v>12058</v>
      </c>
      <c r="C18" s="23" t="s">
        <v>44</v>
      </c>
      <c r="D18" s="24" t="s">
        <v>45</v>
      </c>
      <c r="E18" s="25" t="s">
        <v>22</v>
      </c>
      <c r="F18" s="23" t="n">
        <v>2</v>
      </c>
      <c r="G18" s="23" t="n">
        <v>548.39</v>
      </c>
      <c r="H18" s="23" t="n">
        <v>703.85</v>
      </c>
      <c r="I18" s="23" t="n">
        <f aca="false">TRUNC(H18*F18,2)</f>
        <v>1407.7</v>
      </c>
      <c r="J18" s="26" t="n">
        <f aca="false">I18/$I$154</f>
        <v>0.00485697823996132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</row>
    <row r="19" s="27" customFormat="true" ht="36" hidden="false" customHeight="true" outlineLevel="0" collapsed="false">
      <c r="A19" s="38" t="n">
        <v>4</v>
      </c>
      <c r="B19" s="29"/>
      <c r="C19" s="29"/>
      <c r="D19" s="30" t="s">
        <v>46</v>
      </c>
      <c r="E19" s="31"/>
      <c r="F19" s="29"/>
      <c r="G19" s="29"/>
      <c r="H19" s="29"/>
      <c r="I19" s="29" t="n">
        <f aca="false">SUM(I20:I31)</f>
        <v>12883.112676</v>
      </c>
      <c r="J19" s="39" t="n">
        <f aca="false">SUM(J20:J31)</f>
        <v>14.7036336683171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</row>
    <row r="20" s="27" customFormat="true" ht="36" hidden="false" customHeight="true" outlineLevel="0" collapsed="false">
      <c r="A20" s="21" t="s">
        <v>47</v>
      </c>
      <c r="B20" s="23" t="s">
        <v>48</v>
      </c>
      <c r="C20" s="23" t="s">
        <v>44</v>
      </c>
      <c r="D20" s="24" t="s">
        <v>49</v>
      </c>
      <c r="E20" s="25" t="s">
        <v>50</v>
      </c>
      <c r="F20" s="23" t="n">
        <v>1</v>
      </c>
      <c r="G20" s="23" t="n">
        <v>5328.87</v>
      </c>
      <c r="H20" s="23" t="n">
        <v>6839.6</v>
      </c>
      <c r="I20" s="23" t="n">
        <v>6839.6</v>
      </c>
      <c r="J20" s="26" t="n">
        <f aca="false">I20/$I$153</f>
        <v>7.80610830371518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</row>
    <row r="21" s="27" customFormat="true" ht="36" hidden="false" customHeight="true" outlineLevel="0" collapsed="false">
      <c r="A21" s="21" t="s">
        <v>51</v>
      </c>
      <c r="B21" s="23" t="s">
        <v>52</v>
      </c>
      <c r="C21" s="23" t="s">
        <v>44</v>
      </c>
      <c r="D21" s="24" t="s">
        <v>53</v>
      </c>
      <c r="E21" s="25" t="s">
        <v>54</v>
      </c>
      <c r="F21" s="23" t="n">
        <v>6</v>
      </c>
      <c r="G21" s="23" t="n">
        <v>43.35</v>
      </c>
      <c r="H21" s="23" t="n">
        <v>55.63</v>
      </c>
      <c r="I21" s="23" t="n">
        <v>333.78</v>
      </c>
      <c r="J21" s="26" t="n">
        <f aca="false">I21/$I$153</f>
        <v>0.380946667877369</v>
      </c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</row>
    <row r="22" s="27" customFormat="true" ht="61.5" hidden="false" customHeight="true" outlineLevel="0" collapsed="false">
      <c r="A22" s="34" t="s">
        <v>55</v>
      </c>
      <c r="B22" s="35" t="s">
        <v>56</v>
      </c>
      <c r="C22" s="35" t="s">
        <v>57</v>
      </c>
      <c r="D22" s="36" t="s">
        <v>58</v>
      </c>
      <c r="E22" s="37" t="s">
        <v>54</v>
      </c>
      <c r="F22" s="35" t="n">
        <v>701.5</v>
      </c>
      <c r="G22" s="35" t="n">
        <v>13.21</v>
      </c>
      <c r="H22" s="35" t="n">
        <v>16.95</v>
      </c>
      <c r="I22" s="35"/>
      <c r="J22" s="40" t="n">
        <f aca="false">I22/$I$153</f>
        <v>0</v>
      </c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</row>
    <row r="23" s="27" customFormat="true" ht="61.5" hidden="false" customHeight="true" outlineLevel="0" collapsed="false">
      <c r="A23" s="41" t="s">
        <v>59</v>
      </c>
      <c r="B23" s="42" t="s">
        <v>60</v>
      </c>
      <c r="C23" s="42" t="s">
        <v>20</v>
      </c>
      <c r="D23" s="43" t="s">
        <v>61</v>
      </c>
      <c r="E23" s="44" t="s">
        <v>54</v>
      </c>
      <c r="F23" s="42" t="n">
        <v>193.35</v>
      </c>
      <c r="G23" s="42" t="n">
        <v>3.72</v>
      </c>
      <c r="H23" s="42" t="n">
        <v>4.77</v>
      </c>
      <c r="I23" s="42" t="n">
        <v>922.27</v>
      </c>
      <c r="J23" s="26" t="n">
        <f aca="false">I23/$I$153</f>
        <v>1.05259657074499</v>
      </c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</row>
    <row r="24" s="27" customFormat="true" ht="61.5" hidden="false" customHeight="true" outlineLevel="0" collapsed="false">
      <c r="A24" s="41" t="s">
        <v>62</v>
      </c>
      <c r="B24" s="42" t="s">
        <v>63</v>
      </c>
      <c r="C24" s="42" t="s">
        <v>20</v>
      </c>
      <c r="D24" s="43" t="s">
        <v>64</v>
      </c>
      <c r="E24" s="44" t="s">
        <v>50</v>
      </c>
      <c r="F24" s="42" t="n">
        <v>10</v>
      </c>
      <c r="G24" s="42" t="n">
        <v>0.57</v>
      </c>
      <c r="H24" s="42" t="n">
        <v>0.73</v>
      </c>
      <c r="I24" s="42" t="n">
        <v>7.3</v>
      </c>
      <c r="J24" s="26" t="n">
        <f aca="false">I24/$I$153</f>
        <v>0.00833156772576186</v>
      </c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</row>
    <row r="25" s="27" customFormat="true" ht="61.5" hidden="false" customHeight="true" outlineLevel="0" collapsed="false">
      <c r="A25" s="41" t="s">
        <v>65</v>
      </c>
      <c r="B25" s="42" t="s">
        <v>66</v>
      </c>
      <c r="C25" s="42" t="s">
        <v>20</v>
      </c>
      <c r="D25" s="43" t="s">
        <v>67</v>
      </c>
      <c r="E25" s="44" t="s">
        <v>54</v>
      </c>
      <c r="F25" s="42" t="n">
        <v>3.78</v>
      </c>
      <c r="G25" s="42" t="n">
        <v>6.97</v>
      </c>
      <c r="H25" s="42" t="n">
        <v>8.94</v>
      </c>
      <c r="I25" s="42" t="n">
        <v>33.79</v>
      </c>
      <c r="J25" s="26" t="n">
        <f aca="false">I25/$I$153</f>
        <v>0.0385648867744511</v>
      </c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</row>
    <row r="26" s="27" customFormat="true" ht="61.5" hidden="false" customHeight="true" outlineLevel="0" collapsed="false">
      <c r="A26" s="41" t="s">
        <v>68</v>
      </c>
      <c r="B26" s="42" t="s">
        <v>69</v>
      </c>
      <c r="C26" s="42" t="s">
        <v>20</v>
      </c>
      <c r="D26" s="43" t="s">
        <v>70</v>
      </c>
      <c r="E26" s="44" t="s">
        <v>71</v>
      </c>
      <c r="F26" s="42" t="n">
        <v>2681.12</v>
      </c>
      <c r="G26" s="42" t="n">
        <v>0.57</v>
      </c>
      <c r="H26" s="42" t="n">
        <v>0.73</v>
      </c>
      <c r="I26" s="42" t="n">
        <v>1957.21</v>
      </c>
      <c r="J26" s="26" t="n">
        <f aca="false">I26/$I$153</f>
        <v>2.23378461212854</v>
      </c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</row>
    <row r="27" s="27" customFormat="true" ht="61.5" hidden="false" customHeight="true" outlineLevel="0" collapsed="false">
      <c r="A27" s="41" t="s">
        <v>72</v>
      </c>
      <c r="B27" s="42" t="s">
        <v>73</v>
      </c>
      <c r="C27" s="42" t="s">
        <v>20</v>
      </c>
      <c r="D27" s="43" t="s">
        <v>74</v>
      </c>
      <c r="E27" s="44" t="s">
        <v>50</v>
      </c>
      <c r="F27" s="42" t="n">
        <v>43</v>
      </c>
      <c r="G27" s="42" t="n">
        <v>1.1</v>
      </c>
      <c r="H27" s="42" t="n">
        <v>1.41</v>
      </c>
      <c r="I27" s="42" t="n">
        <v>60.63</v>
      </c>
      <c r="J27" s="26" t="n">
        <f aca="false">I27/$I$153</f>
        <v>0.069197664549718</v>
      </c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</row>
    <row r="28" s="27" customFormat="true" ht="61.5" hidden="false" customHeight="true" outlineLevel="0" collapsed="false">
      <c r="A28" s="41" t="s">
        <v>75</v>
      </c>
      <c r="B28" s="42" t="s">
        <v>76</v>
      </c>
      <c r="C28" s="42" t="s">
        <v>20</v>
      </c>
      <c r="D28" s="43" t="s">
        <v>77</v>
      </c>
      <c r="E28" s="44" t="s">
        <v>54</v>
      </c>
      <c r="F28" s="42" t="n">
        <v>13.33</v>
      </c>
      <c r="G28" s="42" t="n">
        <v>6.64</v>
      </c>
      <c r="H28" s="42" t="n">
        <v>8.52</v>
      </c>
      <c r="I28" s="42" t="n">
        <v>113.57</v>
      </c>
      <c r="J28" s="26" t="n">
        <f aca="false">I28/$I$153</f>
        <v>0.129618650221202</v>
      </c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</row>
    <row r="29" s="27" customFormat="true" ht="80.25" hidden="false" customHeight="true" outlineLevel="0" collapsed="false">
      <c r="A29" s="21" t="s">
        <v>78</v>
      </c>
      <c r="B29" s="23" t="s">
        <v>79</v>
      </c>
      <c r="C29" s="23" t="s">
        <v>44</v>
      </c>
      <c r="D29" s="24" t="s">
        <v>80</v>
      </c>
      <c r="E29" s="25" t="s">
        <v>54</v>
      </c>
      <c r="F29" s="23" t="n">
        <f aca="false">7.73+7.27</f>
        <v>15</v>
      </c>
      <c r="G29" s="23" t="n">
        <v>67.77</v>
      </c>
      <c r="H29" s="23" t="n">
        <f aca="false">G29*1.2835</f>
        <v>86.982795</v>
      </c>
      <c r="I29" s="23" t="n">
        <f aca="false">TRUNC(H29*F29,2)</f>
        <v>1304.74</v>
      </c>
      <c r="J29" s="26" t="n">
        <f aca="false">I29/$I$153</f>
        <v>1.48911365404254</v>
      </c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</row>
    <row r="30" s="27" customFormat="true" ht="80.25" hidden="false" customHeight="true" outlineLevel="0" collapsed="false">
      <c r="A30" s="21" t="s">
        <v>81</v>
      </c>
      <c r="B30" s="23" t="s">
        <v>82</v>
      </c>
      <c r="C30" s="23" t="s">
        <v>20</v>
      </c>
      <c r="D30" s="24" t="s">
        <v>83</v>
      </c>
      <c r="E30" s="25" t="s">
        <v>71</v>
      </c>
      <c r="F30" s="23" t="n">
        <v>37.3</v>
      </c>
      <c r="G30" s="23" t="n">
        <v>25</v>
      </c>
      <c r="H30" s="23" t="n">
        <v>32.08</v>
      </c>
      <c r="I30" s="23" t="n">
        <v>1196.58</v>
      </c>
      <c r="J30" s="26" t="n">
        <f aca="false">I30/$I$153</f>
        <v>1.36566949442358</v>
      </c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</row>
    <row r="31" s="27" customFormat="true" ht="80.25" hidden="false" customHeight="true" outlineLevel="0" collapsed="false">
      <c r="A31" s="21" t="s">
        <v>84</v>
      </c>
      <c r="B31" s="22" t="n">
        <v>97625</v>
      </c>
      <c r="C31" s="23" t="s">
        <v>20</v>
      </c>
      <c r="D31" s="24" t="s">
        <v>85</v>
      </c>
      <c r="E31" s="25" t="s">
        <v>86</v>
      </c>
      <c r="F31" s="23" t="n">
        <v>1.89</v>
      </c>
      <c r="G31" s="23" t="n">
        <v>55.47</v>
      </c>
      <c r="H31" s="23" t="n">
        <f aca="false">71.2*0.8445</f>
        <v>60.1284</v>
      </c>
      <c r="I31" s="23" t="n">
        <f aca="false">H31*F31</f>
        <v>113.642676</v>
      </c>
      <c r="J31" s="26" t="n">
        <f aca="false">I31/$I$153</f>
        <v>0.12970159611381</v>
      </c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</row>
    <row r="32" s="27" customFormat="true" ht="39" hidden="false" customHeight="true" outlineLevel="0" collapsed="false">
      <c r="A32" s="38" t="n">
        <v>5</v>
      </c>
      <c r="B32" s="29"/>
      <c r="C32" s="29"/>
      <c r="D32" s="30" t="s">
        <v>87</v>
      </c>
      <c r="E32" s="31"/>
      <c r="F32" s="29"/>
      <c r="G32" s="29"/>
      <c r="H32" s="29"/>
      <c r="I32" s="29" t="n">
        <f aca="false">SUM(I33:I35)</f>
        <v>0</v>
      </c>
      <c r="J32" s="32" t="n">
        <f aca="false">SUM(J33:J35)</f>
        <v>0</v>
      </c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</row>
    <row r="33" s="27" customFormat="true" ht="80.25" hidden="false" customHeight="true" outlineLevel="0" collapsed="false">
      <c r="A33" s="34" t="s">
        <v>88</v>
      </c>
      <c r="B33" s="45" t="n">
        <v>99814</v>
      </c>
      <c r="C33" s="35" t="s">
        <v>20</v>
      </c>
      <c r="D33" s="36" t="s">
        <v>89</v>
      </c>
      <c r="E33" s="37" t="s">
        <v>54</v>
      </c>
      <c r="F33" s="35" t="n">
        <v>301.24</v>
      </c>
      <c r="G33" s="35" t="n">
        <v>1.53</v>
      </c>
      <c r="H33" s="35" t="n">
        <f aca="false">G33*1.2835</f>
        <v>1.963755</v>
      </c>
      <c r="I33" s="35"/>
      <c r="J33" s="4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</row>
    <row r="34" s="27" customFormat="true" ht="80.25" hidden="false" customHeight="true" outlineLevel="0" collapsed="false">
      <c r="A34" s="34" t="s">
        <v>90</v>
      </c>
      <c r="B34" s="45" t="n">
        <v>98565</v>
      </c>
      <c r="C34" s="35" t="s">
        <v>20</v>
      </c>
      <c r="D34" s="36" t="s">
        <v>91</v>
      </c>
      <c r="E34" s="37" t="s">
        <v>54</v>
      </c>
      <c r="F34" s="35" t="n">
        <v>129.1</v>
      </c>
      <c r="G34" s="35" t="n">
        <v>43.42</v>
      </c>
      <c r="H34" s="35" t="n">
        <f aca="false">G34*1.2835</f>
        <v>55.72957</v>
      </c>
      <c r="I34" s="35"/>
      <c r="J34" s="4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</row>
    <row r="35" s="27" customFormat="true" ht="80.25" hidden="false" customHeight="true" outlineLevel="0" collapsed="false">
      <c r="A35" s="34" t="s">
        <v>92</v>
      </c>
      <c r="B35" s="45" t="n">
        <v>98566</v>
      </c>
      <c r="C35" s="35" t="s">
        <v>20</v>
      </c>
      <c r="D35" s="36" t="s">
        <v>93</v>
      </c>
      <c r="E35" s="37" t="s">
        <v>54</v>
      </c>
      <c r="F35" s="35" t="n">
        <v>172.14</v>
      </c>
      <c r="G35" s="35" t="n">
        <v>56.96</v>
      </c>
      <c r="H35" s="35" t="n">
        <f aca="false">G35*1.2835</f>
        <v>73.10816</v>
      </c>
      <c r="I35" s="35"/>
      <c r="J35" s="4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</row>
    <row r="36" s="27" customFormat="true" ht="40.5" hidden="false" customHeight="true" outlineLevel="0" collapsed="false">
      <c r="A36" s="38" t="n">
        <v>6</v>
      </c>
      <c r="B36" s="29"/>
      <c r="C36" s="29"/>
      <c r="D36" s="30" t="s">
        <v>94</v>
      </c>
      <c r="E36" s="31"/>
      <c r="F36" s="29"/>
      <c r="G36" s="29"/>
      <c r="H36" s="29"/>
      <c r="I36" s="29"/>
      <c r="J36" s="39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</row>
    <row r="37" s="27" customFormat="true" ht="40.5" hidden="false" customHeight="true" outlineLevel="0" collapsed="false">
      <c r="A37" s="38" t="s">
        <v>95</v>
      </c>
      <c r="B37" s="29"/>
      <c r="C37" s="29"/>
      <c r="D37" s="30" t="s">
        <v>96</v>
      </c>
      <c r="E37" s="31"/>
      <c r="F37" s="29"/>
      <c r="G37" s="29"/>
      <c r="H37" s="29"/>
      <c r="I37" s="29" t="n">
        <f aca="false">SUM(I38:I42)</f>
        <v>26656.52</v>
      </c>
      <c r="J37" s="39" t="n">
        <f aca="false">SUM(J38:J42)</f>
        <v>0.0919728192037321</v>
      </c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</row>
    <row r="38" s="27" customFormat="true" ht="80.25" hidden="false" customHeight="true" outlineLevel="0" collapsed="false">
      <c r="A38" s="21" t="s">
        <v>97</v>
      </c>
      <c r="B38" s="23" t="s">
        <v>98</v>
      </c>
      <c r="C38" s="23" t="s">
        <v>27</v>
      </c>
      <c r="D38" s="24" t="s">
        <v>99</v>
      </c>
      <c r="E38" s="25" t="s">
        <v>54</v>
      </c>
      <c r="F38" s="23" t="n">
        <v>43.14</v>
      </c>
      <c r="G38" s="23" t="n">
        <v>59.97</v>
      </c>
      <c r="H38" s="23" t="n">
        <v>76.97</v>
      </c>
      <c r="I38" s="23" t="n">
        <f aca="false">TRUNC(H38*F38,2)</f>
        <v>3320.48</v>
      </c>
      <c r="J38" s="26" t="n">
        <f aca="false">I38/$I$154</f>
        <v>0.0114566307496105</v>
      </c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</row>
    <row r="39" s="27" customFormat="true" ht="80.25" hidden="false" customHeight="true" outlineLevel="0" collapsed="false">
      <c r="A39" s="21" t="s">
        <v>100</v>
      </c>
      <c r="B39" s="23" t="s">
        <v>101</v>
      </c>
      <c r="C39" s="23" t="s">
        <v>27</v>
      </c>
      <c r="D39" s="24" t="s">
        <v>102</v>
      </c>
      <c r="E39" s="25" t="s">
        <v>103</v>
      </c>
      <c r="F39" s="23" t="n">
        <v>29.35</v>
      </c>
      <c r="G39" s="23" t="n">
        <v>44.04</v>
      </c>
      <c r="H39" s="23" t="n">
        <v>56.52</v>
      </c>
      <c r="I39" s="23" t="n">
        <v>1658.86</v>
      </c>
      <c r="J39" s="26" t="n">
        <f aca="false">I39/$I$154</f>
        <v>0.00572355396969683</v>
      </c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</row>
    <row r="40" s="27" customFormat="true" ht="80.25" hidden="false" customHeight="true" outlineLevel="0" collapsed="false">
      <c r="A40" s="21" t="s">
        <v>104</v>
      </c>
      <c r="B40" s="23" t="s">
        <v>105</v>
      </c>
      <c r="C40" s="23" t="s">
        <v>27</v>
      </c>
      <c r="D40" s="24" t="s">
        <v>106</v>
      </c>
      <c r="E40" s="25" t="s">
        <v>107</v>
      </c>
      <c r="F40" s="23" t="n">
        <f aca="false">4+2</f>
        <v>6</v>
      </c>
      <c r="G40" s="23" t="n">
        <v>356.19</v>
      </c>
      <c r="H40" s="23" t="n">
        <v>457.16</v>
      </c>
      <c r="I40" s="23" t="n">
        <f aca="false">TRUNC(H40*F40,2)</f>
        <v>2742.96</v>
      </c>
      <c r="J40" s="26" t="n">
        <f aca="false">I40/$I$154</f>
        <v>0.00946401721466527</v>
      </c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</row>
    <row r="41" s="27" customFormat="true" ht="80.25" hidden="false" customHeight="true" outlineLevel="0" collapsed="false">
      <c r="A41" s="21" t="s">
        <v>108</v>
      </c>
      <c r="B41" s="23" t="s">
        <v>109</v>
      </c>
      <c r="C41" s="23" t="s">
        <v>27</v>
      </c>
      <c r="D41" s="24" t="s">
        <v>110</v>
      </c>
      <c r="E41" s="25" t="s">
        <v>54</v>
      </c>
      <c r="F41" s="23" t="n">
        <v>40.91678</v>
      </c>
      <c r="G41" s="23" t="n">
        <v>118.83</v>
      </c>
      <c r="H41" s="23" t="n">
        <v>152.51</v>
      </c>
      <c r="I41" s="23" t="n">
        <f aca="false">TRUNC(H41*F41,2)</f>
        <v>6240.21</v>
      </c>
      <c r="J41" s="26" t="n">
        <f aca="false">I41/$I$154</f>
        <v>0.0215305563563181</v>
      </c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</row>
    <row r="42" s="27" customFormat="true" ht="80.25" hidden="false" customHeight="true" outlineLevel="0" collapsed="false">
      <c r="A42" s="21" t="s">
        <v>111</v>
      </c>
      <c r="B42" s="22" t="n">
        <v>90124</v>
      </c>
      <c r="C42" s="23" t="s">
        <v>44</v>
      </c>
      <c r="D42" s="24" t="s">
        <v>112</v>
      </c>
      <c r="E42" s="25" t="s">
        <v>54</v>
      </c>
      <c r="F42" s="23" t="n">
        <f aca="false">+(7.5+0.3+0.3)*(2.8)</f>
        <v>22.68</v>
      </c>
      <c r="G42" s="23" t="n">
        <v>516.37</v>
      </c>
      <c r="H42" s="46" t="n">
        <f aca="false">662.76*0.8445</f>
        <v>559.70082</v>
      </c>
      <c r="I42" s="23" t="n">
        <f aca="false">TRUNC(H42*F42,2)</f>
        <v>12694.01</v>
      </c>
      <c r="J42" s="26" t="n">
        <f aca="false">I42/$I$154</f>
        <v>0.0437980609134413</v>
      </c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</row>
    <row r="43" s="27" customFormat="true" ht="40.5" hidden="false" customHeight="true" outlineLevel="0" collapsed="false">
      <c r="A43" s="38" t="n">
        <v>7</v>
      </c>
      <c r="B43" s="29"/>
      <c r="C43" s="29"/>
      <c r="D43" s="30" t="s">
        <v>113</v>
      </c>
      <c r="E43" s="31"/>
      <c r="F43" s="29"/>
      <c r="G43" s="29"/>
      <c r="H43" s="29"/>
      <c r="I43" s="29" t="n">
        <f aca="false">SUM(I44:I48)</f>
        <v>5722.84</v>
      </c>
      <c r="J43" s="39" t="n">
        <f aca="false">SUM(J44:J48)</f>
        <v>0.0197454779788167</v>
      </c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</row>
    <row r="44" s="27" customFormat="true" ht="80.25" hidden="false" customHeight="true" outlineLevel="0" collapsed="false">
      <c r="A44" s="34" t="s">
        <v>114</v>
      </c>
      <c r="B44" s="35" t="n">
        <v>90054</v>
      </c>
      <c r="C44" s="35" t="s">
        <v>44</v>
      </c>
      <c r="D44" s="36" t="s">
        <v>115</v>
      </c>
      <c r="E44" s="37" t="s">
        <v>54</v>
      </c>
      <c r="F44" s="35" t="n">
        <v>7.95</v>
      </c>
      <c r="G44" s="35" t="n">
        <v>146.9</v>
      </c>
      <c r="H44" s="35" t="n">
        <v>188.54</v>
      </c>
      <c r="I44" s="35"/>
      <c r="J44" s="4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</row>
    <row r="45" s="27" customFormat="true" ht="80.25" hidden="false" customHeight="true" outlineLevel="0" collapsed="false">
      <c r="A45" s="34" t="s">
        <v>116</v>
      </c>
      <c r="B45" s="35" t="n">
        <v>90118</v>
      </c>
      <c r="C45" s="35" t="s">
        <v>44</v>
      </c>
      <c r="D45" s="36" t="s">
        <v>117</v>
      </c>
      <c r="E45" s="37" t="s">
        <v>54</v>
      </c>
      <c r="F45" s="35" t="n">
        <v>5.53</v>
      </c>
      <c r="G45" s="35" t="n">
        <v>98.84</v>
      </c>
      <c r="H45" s="35" t="n">
        <v>126.86</v>
      </c>
      <c r="I45" s="35"/>
      <c r="J45" s="4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</row>
    <row r="46" s="27" customFormat="true" ht="70.5" hidden="false" customHeight="true" outlineLevel="0" collapsed="false">
      <c r="A46" s="34" t="s">
        <v>118</v>
      </c>
      <c r="B46" s="35" t="n">
        <v>110111</v>
      </c>
      <c r="C46" s="35" t="s">
        <v>44</v>
      </c>
      <c r="D46" s="36" t="s">
        <v>119</v>
      </c>
      <c r="E46" s="37" t="s">
        <v>50</v>
      </c>
      <c r="F46" s="35" t="n">
        <v>1</v>
      </c>
      <c r="G46" s="35" t="n">
        <v>727.58</v>
      </c>
      <c r="H46" s="35" t="n">
        <v>933.84</v>
      </c>
      <c r="I46" s="35"/>
      <c r="J46" s="4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</row>
    <row r="47" s="27" customFormat="true" ht="99" hidden="false" customHeight="true" outlineLevel="0" collapsed="false">
      <c r="A47" s="34" t="s">
        <v>120</v>
      </c>
      <c r="B47" s="35" t="n">
        <v>96368</v>
      </c>
      <c r="C47" s="35" t="s">
        <v>20</v>
      </c>
      <c r="D47" s="36" t="s">
        <v>121</v>
      </c>
      <c r="E47" s="37" t="s">
        <v>54</v>
      </c>
      <c r="F47" s="35" t="n">
        <v>1.25</v>
      </c>
      <c r="G47" s="35" t="n">
        <v>162.07</v>
      </c>
      <c r="H47" s="35" t="n">
        <v>208.01</v>
      </c>
      <c r="I47" s="35"/>
      <c r="J47" s="4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</row>
    <row r="48" s="27" customFormat="true" ht="99" hidden="false" customHeight="true" outlineLevel="0" collapsed="false">
      <c r="A48" s="21" t="s">
        <v>122</v>
      </c>
      <c r="B48" s="23" t="n">
        <v>96359</v>
      </c>
      <c r="C48" s="23" t="s">
        <v>20</v>
      </c>
      <c r="D48" s="24" t="s">
        <v>123</v>
      </c>
      <c r="E48" s="25" t="s">
        <v>54</v>
      </c>
      <c r="F48" s="23" t="n">
        <f aca="false">((4.95+2.7)*2.85)+((3.68+3.06)*2.82)+ ((0.1+0.3+0.1)*2.65)*2</f>
        <v>43.4593</v>
      </c>
      <c r="G48" s="23" t="n">
        <v>121.49</v>
      </c>
      <c r="H48" s="46" t="n">
        <f aca="false">155.93*0.8445</f>
        <v>131.682885</v>
      </c>
      <c r="I48" s="23" t="n">
        <f aca="false">TRUNC(H48*F48,2)</f>
        <v>5722.84</v>
      </c>
      <c r="J48" s="26" t="n">
        <f aca="false">I48/$I$154</f>
        <v>0.0197454779788167</v>
      </c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</row>
    <row r="49" s="27" customFormat="true" ht="46.5" hidden="false" customHeight="true" outlineLevel="0" collapsed="false">
      <c r="A49" s="38" t="n">
        <v>8</v>
      </c>
      <c r="B49" s="29"/>
      <c r="C49" s="29"/>
      <c r="D49" s="30" t="s">
        <v>124</v>
      </c>
      <c r="E49" s="31"/>
      <c r="F49" s="29"/>
      <c r="G49" s="29"/>
      <c r="H49" s="29"/>
      <c r="I49" s="29"/>
      <c r="J49" s="39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</row>
    <row r="50" s="27" customFormat="true" ht="43.5" hidden="false" customHeight="true" outlineLevel="0" collapsed="false">
      <c r="A50" s="38" t="s">
        <v>125</v>
      </c>
      <c r="B50" s="29"/>
      <c r="C50" s="29"/>
      <c r="D50" s="30" t="s">
        <v>126</v>
      </c>
      <c r="E50" s="31"/>
      <c r="F50" s="29"/>
      <c r="G50" s="29"/>
      <c r="H50" s="29"/>
      <c r="I50" s="29" t="n">
        <f aca="false">SUM(I51:I88)</f>
        <v>38941.3689</v>
      </c>
      <c r="J50" s="39" t="n">
        <f aca="false">SUM(J51:J88)</f>
        <v>0.134359154210135</v>
      </c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</row>
    <row r="51" s="27" customFormat="true" ht="102" hidden="false" customHeight="true" outlineLevel="0" collapsed="false">
      <c r="A51" s="21" t="s">
        <v>127</v>
      </c>
      <c r="B51" s="23" t="s">
        <v>128</v>
      </c>
      <c r="C51" s="23" t="s">
        <v>20</v>
      </c>
      <c r="D51" s="24" t="s">
        <v>129</v>
      </c>
      <c r="E51" s="25" t="s">
        <v>50</v>
      </c>
      <c r="F51" s="23" t="n">
        <v>1</v>
      </c>
      <c r="G51" s="23" t="n">
        <v>672.34</v>
      </c>
      <c r="H51" s="23" t="n">
        <v>862.94</v>
      </c>
      <c r="I51" s="23" t="n">
        <v>862.94</v>
      </c>
      <c r="J51" s="26" t="n">
        <f aca="false">I51/$I$154</f>
        <v>0.00297739632193807</v>
      </c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</row>
    <row r="52" s="27" customFormat="true" ht="75" hidden="false" customHeight="true" outlineLevel="0" collapsed="false">
      <c r="A52" s="21" t="s">
        <v>130</v>
      </c>
      <c r="B52" s="23" t="s">
        <v>131</v>
      </c>
      <c r="C52" s="23" t="s">
        <v>20</v>
      </c>
      <c r="D52" s="24" t="s">
        <v>132</v>
      </c>
      <c r="E52" s="25" t="s">
        <v>50</v>
      </c>
      <c r="F52" s="23" t="n">
        <v>1</v>
      </c>
      <c r="G52" s="23" t="n">
        <v>147.38</v>
      </c>
      <c r="H52" s="23" t="n">
        <v>189.16</v>
      </c>
      <c r="I52" s="23" t="n">
        <v>189.16</v>
      </c>
      <c r="J52" s="26" t="n">
        <f aca="false">I52/$I$154</f>
        <v>0.000652657529211539</v>
      </c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</row>
    <row r="53" s="27" customFormat="true" ht="67.5" hidden="false" customHeight="true" outlineLevel="0" collapsed="false">
      <c r="A53" s="21" t="s">
        <v>133</v>
      </c>
      <c r="B53" s="23" t="s">
        <v>134</v>
      </c>
      <c r="C53" s="23" t="s">
        <v>44</v>
      </c>
      <c r="D53" s="24" t="s">
        <v>135</v>
      </c>
      <c r="E53" s="25" t="s">
        <v>50</v>
      </c>
      <c r="F53" s="23" t="n">
        <v>1</v>
      </c>
      <c r="G53" s="23" t="n">
        <v>477.25</v>
      </c>
      <c r="H53" s="23" t="n">
        <v>612.55</v>
      </c>
      <c r="I53" s="23" t="n">
        <v>612.55</v>
      </c>
      <c r="J53" s="26" t="n">
        <f aca="false">I53/$I$154</f>
        <v>0.00211347731824132</v>
      </c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</row>
    <row r="54" s="27" customFormat="true" ht="82.5" hidden="false" customHeight="true" outlineLevel="0" collapsed="false">
      <c r="A54" s="21" t="s">
        <v>136</v>
      </c>
      <c r="B54" s="23" t="s">
        <v>137</v>
      </c>
      <c r="C54" s="23" t="s">
        <v>20</v>
      </c>
      <c r="D54" s="24" t="s">
        <v>138</v>
      </c>
      <c r="E54" s="25" t="s">
        <v>50</v>
      </c>
      <c r="F54" s="23" t="n">
        <v>1</v>
      </c>
      <c r="G54" s="23" t="n">
        <v>52.21</v>
      </c>
      <c r="H54" s="23" t="n">
        <v>67.01</v>
      </c>
      <c r="I54" s="23" t="n">
        <v>67.01</v>
      </c>
      <c r="J54" s="26" t="n">
        <f aca="false">I54/$I$154</f>
        <v>0.000231204171243737</v>
      </c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</row>
    <row r="55" s="27" customFormat="true" ht="85.5" hidden="false" customHeight="true" outlineLevel="0" collapsed="false">
      <c r="A55" s="21" t="s">
        <v>139</v>
      </c>
      <c r="B55" s="23" t="s">
        <v>140</v>
      </c>
      <c r="C55" s="23" t="s">
        <v>20</v>
      </c>
      <c r="D55" s="24" t="s">
        <v>141</v>
      </c>
      <c r="E55" s="25" t="s">
        <v>50</v>
      </c>
      <c r="F55" s="23" t="n">
        <v>1</v>
      </c>
      <c r="G55" s="23" t="n">
        <v>53.51</v>
      </c>
      <c r="H55" s="23" t="n">
        <v>68.68</v>
      </c>
      <c r="I55" s="23" t="n">
        <v>68.68</v>
      </c>
      <c r="J55" s="26" t="n">
        <f aca="false">I55/$I$154</f>
        <v>0.000236966161483657</v>
      </c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</row>
    <row r="56" s="27" customFormat="true" ht="58.5" hidden="false" customHeight="true" outlineLevel="0" collapsed="false">
      <c r="A56" s="21" t="s">
        <v>142</v>
      </c>
      <c r="B56" s="23" t="s">
        <v>143</v>
      </c>
      <c r="C56" s="23" t="s">
        <v>20</v>
      </c>
      <c r="D56" s="24" t="s">
        <v>144</v>
      </c>
      <c r="E56" s="25" t="s">
        <v>50</v>
      </c>
      <c r="F56" s="23" t="n">
        <v>4</v>
      </c>
      <c r="G56" s="23" t="n">
        <v>55.88</v>
      </c>
      <c r="H56" s="23" t="n">
        <v>71.72</v>
      </c>
      <c r="I56" s="23" t="n">
        <v>286.88</v>
      </c>
      <c r="J56" s="26" t="n">
        <f aca="false">I56/$I$154</f>
        <v>0.00098982021558578</v>
      </c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</row>
    <row r="57" s="27" customFormat="true" ht="69" hidden="false" customHeight="true" outlineLevel="0" collapsed="false">
      <c r="A57" s="21" t="s">
        <v>145</v>
      </c>
      <c r="B57" s="23" t="s">
        <v>146</v>
      </c>
      <c r="C57" s="23" t="s">
        <v>20</v>
      </c>
      <c r="D57" s="24" t="s">
        <v>147</v>
      </c>
      <c r="E57" s="25" t="s">
        <v>50</v>
      </c>
      <c r="F57" s="23" t="n">
        <v>5</v>
      </c>
      <c r="G57" s="23" t="n">
        <v>10.73</v>
      </c>
      <c r="H57" s="23" t="n">
        <v>13.77</v>
      </c>
      <c r="I57" s="23" t="n">
        <v>68.85</v>
      </c>
      <c r="J57" s="26" t="n">
        <f aca="false">I57/$I$154</f>
        <v>0.000237552711388319</v>
      </c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</row>
    <row r="58" s="27" customFormat="true" ht="67.5" hidden="false" customHeight="true" outlineLevel="0" collapsed="false">
      <c r="A58" s="21" t="s">
        <v>148</v>
      </c>
      <c r="B58" s="23" t="s">
        <v>149</v>
      </c>
      <c r="C58" s="23" t="s">
        <v>20</v>
      </c>
      <c r="D58" s="24" t="s">
        <v>150</v>
      </c>
      <c r="E58" s="25" t="s">
        <v>50</v>
      </c>
      <c r="F58" s="23" t="n">
        <v>1</v>
      </c>
      <c r="G58" s="23" t="n">
        <v>11.38</v>
      </c>
      <c r="H58" s="23" t="n">
        <v>14.6</v>
      </c>
      <c r="I58" s="23" t="n">
        <v>14.6</v>
      </c>
      <c r="J58" s="26" t="n">
        <f aca="false">I58/$I$154</f>
        <v>5.03742859298396E-005</v>
      </c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</row>
    <row r="59" s="27" customFormat="true" ht="70.5" hidden="false" customHeight="true" outlineLevel="0" collapsed="false">
      <c r="A59" s="21" t="s">
        <v>151</v>
      </c>
      <c r="B59" s="23" t="s">
        <v>152</v>
      </c>
      <c r="C59" s="23" t="s">
        <v>27</v>
      </c>
      <c r="D59" s="24" t="s">
        <v>153</v>
      </c>
      <c r="E59" s="25" t="s">
        <v>71</v>
      </c>
      <c r="F59" s="23" t="n">
        <v>25.58</v>
      </c>
      <c r="G59" s="23" t="n">
        <v>48.61</v>
      </c>
      <c r="H59" s="23" t="n">
        <v>62.39</v>
      </c>
      <c r="I59" s="23" t="n">
        <v>1595.93</v>
      </c>
      <c r="J59" s="26" t="n">
        <f aca="false">I59/$I$154</f>
        <v>0.005506426996165</v>
      </c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</row>
    <row r="60" s="27" customFormat="true" ht="96" hidden="false" customHeight="true" outlineLevel="0" collapsed="false">
      <c r="A60" s="21" t="s">
        <v>154</v>
      </c>
      <c r="B60" s="23" t="s">
        <v>155</v>
      </c>
      <c r="C60" s="23" t="s">
        <v>20</v>
      </c>
      <c r="D60" s="24" t="s">
        <v>156</v>
      </c>
      <c r="E60" s="25" t="s">
        <v>71</v>
      </c>
      <c r="F60" s="23" t="n">
        <v>26.92</v>
      </c>
      <c r="G60" s="23" t="n">
        <v>18</v>
      </c>
      <c r="H60" s="23" t="n">
        <v>23.1</v>
      </c>
      <c r="I60" s="23" t="n">
        <v>621.85</v>
      </c>
      <c r="J60" s="26" t="n">
        <f aca="false">I60/$I$154</f>
        <v>0.00214556504831992</v>
      </c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</row>
    <row r="61" s="27" customFormat="true" ht="67.5" hidden="false" customHeight="true" outlineLevel="0" collapsed="false">
      <c r="A61" s="21" t="s">
        <v>157</v>
      </c>
      <c r="B61" s="23" t="s">
        <v>158</v>
      </c>
      <c r="C61" s="23" t="s">
        <v>20</v>
      </c>
      <c r="D61" s="24" t="s">
        <v>159</v>
      </c>
      <c r="E61" s="25" t="s">
        <v>71</v>
      </c>
      <c r="F61" s="23" t="n">
        <v>3.3</v>
      </c>
      <c r="G61" s="23" t="n">
        <v>14.35</v>
      </c>
      <c r="H61" s="23" t="n">
        <v>18.41</v>
      </c>
      <c r="I61" s="23" t="n">
        <v>60.75</v>
      </c>
      <c r="J61" s="26" t="n">
        <f aca="false">I61/$I$154</f>
        <v>0.000209605333577929</v>
      </c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</row>
    <row r="62" s="27" customFormat="true" ht="75" hidden="false" customHeight="true" outlineLevel="0" collapsed="false">
      <c r="A62" s="21" t="s">
        <v>160</v>
      </c>
      <c r="B62" s="23" t="s">
        <v>161</v>
      </c>
      <c r="C62" s="23" t="s">
        <v>20</v>
      </c>
      <c r="D62" s="24" t="s">
        <v>162</v>
      </c>
      <c r="E62" s="25" t="s">
        <v>71</v>
      </c>
      <c r="F62" s="23" t="n">
        <v>2.65</v>
      </c>
      <c r="G62" s="23" t="n">
        <v>16.74</v>
      </c>
      <c r="H62" s="23" t="n">
        <v>21.48</v>
      </c>
      <c r="I62" s="23" t="n">
        <v>56.92</v>
      </c>
      <c r="J62" s="26" t="n">
        <f aca="false">I62/$I$154</f>
        <v>0.000196390709255238</v>
      </c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</row>
    <row r="63" s="27" customFormat="true" ht="78" hidden="false" customHeight="true" outlineLevel="0" collapsed="false">
      <c r="A63" s="21" t="s">
        <v>163</v>
      </c>
      <c r="B63" s="23" t="s">
        <v>164</v>
      </c>
      <c r="C63" s="23" t="s">
        <v>20</v>
      </c>
      <c r="D63" s="24" t="s">
        <v>165</v>
      </c>
      <c r="E63" s="25" t="s">
        <v>71</v>
      </c>
      <c r="F63" s="23" t="n">
        <v>6.6</v>
      </c>
      <c r="G63" s="23" t="n">
        <v>13.23</v>
      </c>
      <c r="H63" s="23" t="n">
        <v>16.98</v>
      </c>
      <c r="I63" s="23" t="n">
        <v>112.06</v>
      </c>
      <c r="J63" s="26" t="n">
        <f aca="false">I63/$I$154</f>
        <v>0.000386639895979303</v>
      </c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</row>
    <row r="64" s="27" customFormat="true" ht="78" hidden="false" customHeight="true" outlineLevel="0" collapsed="false">
      <c r="A64" s="21" t="s">
        <v>166</v>
      </c>
      <c r="B64" s="23" t="s">
        <v>167</v>
      </c>
      <c r="C64" s="23" t="s">
        <v>20</v>
      </c>
      <c r="D64" s="24" t="s">
        <v>168</v>
      </c>
      <c r="E64" s="25" t="s">
        <v>71</v>
      </c>
      <c r="F64" s="23" t="n">
        <v>132.77</v>
      </c>
      <c r="G64" s="23" t="n">
        <v>10.73</v>
      </c>
      <c r="H64" s="23" t="n">
        <v>13.77</v>
      </c>
      <c r="I64" s="23" t="n">
        <v>1828.24</v>
      </c>
      <c r="J64" s="26" t="n">
        <f aca="false">I64/$I$154</f>
        <v>0.00630796469235411</v>
      </c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</row>
    <row r="65" s="27" customFormat="true" ht="84" hidden="false" customHeight="true" outlineLevel="0" collapsed="false">
      <c r="A65" s="21" t="s">
        <v>169</v>
      </c>
      <c r="B65" s="23" t="s">
        <v>170</v>
      </c>
      <c r="C65" s="23" t="s">
        <v>20</v>
      </c>
      <c r="D65" s="24" t="s">
        <v>171</v>
      </c>
      <c r="E65" s="25" t="s">
        <v>71</v>
      </c>
      <c r="F65" s="23" t="n">
        <v>31.81</v>
      </c>
      <c r="G65" s="23" t="n">
        <v>9.59</v>
      </c>
      <c r="H65" s="23" t="n">
        <v>12.3</v>
      </c>
      <c r="I65" s="23" t="n">
        <v>391.26</v>
      </c>
      <c r="J65" s="26" t="n">
        <f aca="false">I65/$I$154</f>
        <v>0.00134996185704857</v>
      </c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</row>
    <row r="66" s="27" customFormat="true" ht="82.5" hidden="false" customHeight="true" outlineLevel="0" collapsed="false">
      <c r="A66" s="21" t="s">
        <v>172</v>
      </c>
      <c r="B66" s="23" t="s">
        <v>173</v>
      </c>
      <c r="C66" s="23" t="s">
        <v>20</v>
      </c>
      <c r="D66" s="24" t="s">
        <v>174</v>
      </c>
      <c r="E66" s="25" t="s">
        <v>71</v>
      </c>
      <c r="F66" s="23" t="n">
        <v>26.1</v>
      </c>
      <c r="G66" s="23" t="n">
        <v>33.36</v>
      </c>
      <c r="H66" s="23" t="n">
        <v>42.81</v>
      </c>
      <c r="I66" s="23" t="n">
        <v>1117.34</v>
      </c>
      <c r="J66" s="26" t="n">
        <f aca="false">I66/$I$154</f>
        <v>0.00385515100279774</v>
      </c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</row>
    <row r="67" s="27" customFormat="true" ht="93" hidden="false" customHeight="true" outlineLevel="0" collapsed="false">
      <c r="A67" s="21" t="s">
        <v>175</v>
      </c>
      <c r="B67" s="23" t="s">
        <v>176</v>
      </c>
      <c r="C67" s="23" t="s">
        <v>20</v>
      </c>
      <c r="D67" s="24" t="s">
        <v>177</v>
      </c>
      <c r="E67" s="25" t="s">
        <v>71</v>
      </c>
      <c r="F67" s="23" t="n">
        <v>107.68</v>
      </c>
      <c r="G67" s="23" t="n">
        <v>20.06</v>
      </c>
      <c r="H67" s="23" t="n">
        <v>25.74</v>
      </c>
      <c r="I67" s="23" t="n">
        <v>2771.68</v>
      </c>
      <c r="J67" s="26" t="n">
        <f aca="false">I67/$I$154</f>
        <v>0.00956310964561766</v>
      </c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</row>
    <row r="68" s="27" customFormat="true" ht="76.5" hidden="false" customHeight="true" outlineLevel="0" collapsed="false">
      <c r="A68" s="21" t="s">
        <v>178</v>
      </c>
      <c r="B68" s="23" t="s">
        <v>179</v>
      </c>
      <c r="C68" s="23" t="s">
        <v>20</v>
      </c>
      <c r="D68" s="24" t="s">
        <v>180</v>
      </c>
      <c r="E68" s="25" t="s">
        <v>71</v>
      </c>
      <c r="F68" s="23" t="n">
        <v>26.92</v>
      </c>
      <c r="G68" s="23" t="n">
        <v>13.2</v>
      </c>
      <c r="H68" s="23" t="n">
        <v>16.94</v>
      </c>
      <c r="I68" s="23" t="n">
        <v>456.02</v>
      </c>
      <c r="J68" s="26" t="n">
        <f aca="false">I68/$I$154</f>
        <v>0.00157340286778942</v>
      </c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</row>
    <row r="69" s="27" customFormat="true" ht="75" hidden="false" customHeight="true" outlineLevel="0" collapsed="false">
      <c r="A69" s="21" t="s">
        <v>181</v>
      </c>
      <c r="B69" s="23" t="s">
        <v>182</v>
      </c>
      <c r="C69" s="23" t="s">
        <v>20</v>
      </c>
      <c r="D69" s="24" t="s">
        <v>183</v>
      </c>
      <c r="E69" s="25" t="s">
        <v>71</v>
      </c>
      <c r="F69" s="23" t="n">
        <v>414.6</v>
      </c>
      <c r="G69" s="23" t="n">
        <v>8.83</v>
      </c>
      <c r="H69" s="23" t="n">
        <v>11.33</v>
      </c>
      <c r="I69" s="23" t="n">
        <v>4697.41</v>
      </c>
      <c r="J69" s="26" t="n">
        <f aca="false">I69/$I$154</f>
        <v>0.0162074434568279</v>
      </c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</row>
    <row r="70" s="27" customFormat="true" ht="91.5" hidden="false" customHeight="true" outlineLevel="0" collapsed="false">
      <c r="A70" s="21" t="s">
        <v>184</v>
      </c>
      <c r="B70" s="23" t="s">
        <v>185</v>
      </c>
      <c r="C70" s="23" t="s">
        <v>20</v>
      </c>
      <c r="D70" s="24" t="s">
        <v>186</v>
      </c>
      <c r="E70" s="25" t="s">
        <v>71</v>
      </c>
      <c r="F70" s="23" t="n">
        <f aca="false">1080.8+400</f>
        <v>1480.8</v>
      </c>
      <c r="G70" s="23" t="n">
        <v>4.69</v>
      </c>
      <c r="H70" s="23" t="n">
        <v>6.01</v>
      </c>
      <c r="I70" s="23" t="n">
        <f aca="false">H70*F70</f>
        <v>8899.608</v>
      </c>
      <c r="J70" s="26" t="n">
        <f aca="false">I70/$I$154</f>
        <v>0.0307062601407869</v>
      </c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</row>
    <row r="71" s="27" customFormat="true" ht="91.5" hidden="false" customHeight="true" outlineLevel="0" collapsed="false">
      <c r="A71" s="21" t="s">
        <v>187</v>
      </c>
      <c r="B71" s="23" t="s">
        <v>188</v>
      </c>
      <c r="C71" s="23" t="s">
        <v>20</v>
      </c>
      <c r="D71" s="24" t="s">
        <v>189</v>
      </c>
      <c r="E71" s="25" t="s">
        <v>71</v>
      </c>
      <c r="F71" s="23" t="n">
        <v>172.3</v>
      </c>
      <c r="G71" s="23" t="n">
        <v>3.51</v>
      </c>
      <c r="H71" s="23" t="n">
        <v>4.5</v>
      </c>
      <c r="I71" s="23" t="n">
        <v>775.35</v>
      </c>
      <c r="J71" s="26" t="n">
        <f aca="false">I71/$I$154</f>
        <v>0.0026751851092946</v>
      </c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</row>
    <row r="72" s="27" customFormat="true" ht="91.5" hidden="false" customHeight="true" outlineLevel="0" collapsed="false">
      <c r="A72" s="21" t="s">
        <v>190</v>
      </c>
      <c r="B72" s="23" t="s">
        <v>191</v>
      </c>
      <c r="C72" s="23" t="s">
        <v>20</v>
      </c>
      <c r="D72" s="24" t="s">
        <v>192</v>
      </c>
      <c r="E72" s="25" t="s">
        <v>50</v>
      </c>
      <c r="F72" s="23" t="n">
        <v>6</v>
      </c>
      <c r="G72" s="23" t="n">
        <v>8.35</v>
      </c>
      <c r="H72" s="23" t="n">
        <v>10.71</v>
      </c>
      <c r="I72" s="23" t="n">
        <v>64.26</v>
      </c>
      <c r="J72" s="26" t="n">
        <f aca="false">I72/$I$154</f>
        <v>0.000221715863962431</v>
      </c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</row>
    <row r="73" s="27" customFormat="true" ht="91.5" hidden="false" customHeight="true" outlineLevel="0" collapsed="false">
      <c r="A73" s="21" t="s">
        <v>193</v>
      </c>
      <c r="B73" s="23" t="s">
        <v>194</v>
      </c>
      <c r="C73" s="23" t="s">
        <v>20</v>
      </c>
      <c r="D73" s="24" t="s">
        <v>195</v>
      </c>
      <c r="E73" s="25" t="s">
        <v>50</v>
      </c>
      <c r="F73" s="23" t="n">
        <v>5</v>
      </c>
      <c r="G73" s="23" t="n">
        <v>18.8</v>
      </c>
      <c r="H73" s="23" t="n">
        <v>24.12</v>
      </c>
      <c r="I73" s="23" t="n">
        <v>120.6</v>
      </c>
      <c r="J73" s="26" t="n">
        <f aca="false">I73/$I$154</f>
        <v>0.000416105402954703</v>
      </c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</row>
    <row r="74" s="27" customFormat="true" ht="91.5" hidden="false" customHeight="true" outlineLevel="0" collapsed="false">
      <c r="A74" s="21" t="s">
        <v>196</v>
      </c>
      <c r="B74" s="23" t="s">
        <v>197</v>
      </c>
      <c r="C74" s="23" t="s">
        <v>20</v>
      </c>
      <c r="D74" s="24" t="s">
        <v>198</v>
      </c>
      <c r="E74" s="25" t="s">
        <v>50</v>
      </c>
      <c r="F74" s="23" t="n">
        <v>4</v>
      </c>
      <c r="G74" s="23" t="n">
        <v>13.54</v>
      </c>
      <c r="H74" s="23" t="n">
        <v>17.37</v>
      </c>
      <c r="I74" s="23" t="n">
        <v>69.48</v>
      </c>
      <c r="J74" s="26" t="n">
        <f aca="false">I74/$I$154</f>
        <v>0.000239726396329127</v>
      </c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</row>
    <row r="75" s="27" customFormat="true" ht="91.5" hidden="false" customHeight="true" outlineLevel="0" collapsed="false">
      <c r="A75" s="21" t="s">
        <v>199</v>
      </c>
      <c r="B75" s="23" t="s">
        <v>200</v>
      </c>
      <c r="C75" s="23" t="s">
        <v>20</v>
      </c>
      <c r="D75" s="24" t="s">
        <v>201</v>
      </c>
      <c r="E75" s="25" t="s">
        <v>50</v>
      </c>
      <c r="F75" s="23" t="n">
        <v>2</v>
      </c>
      <c r="G75" s="23" t="n">
        <v>45.79</v>
      </c>
      <c r="H75" s="23" t="n">
        <v>58.77</v>
      </c>
      <c r="I75" s="23" t="n">
        <v>117.54</v>
      </c>
      <c r="J75" s="26" t="n">
        <f aca="false">I75/$I$154</f>
        <v>0.000405547504670777</v>
      </c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</row>
    <row r="76" s="27" customFormat="true" ht="91.5" hidden="false" customHeight="true" outlineLevel="0" collapsed="false">
      <c r="A76" s="21" t="s">
        <v>202</v>
      </c>
      <c r="B76" s="23" t="s">
        <v>203</v>
      </c>
      <c r="C76" s="23" t="s">
        <v>44</v>
      </c>
      <c r="D76" s="24" t="s">
        <v>204</v>
      </c>
      <c r="E76" s="25" t="s">
        <v>50</v>
      </c>
      <c r="F76" s="23" t="n">
        <v>2</v>
      </c>
      <c r="G76" s="23" t="n">
        <v>1.84</v>
      </c>
      <c r="H76" s="23" t="n">
        <v>2.36</v>
      </c>
      <c r="I76" s="23" t="n">
        <v>4.72</v>
      </c>
      <c r="J76" s="26" t="n">
        <f aca="false">I76/$I$154</f>
        <v>1.62853855882769E-005</v>
      </c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</row>
    <row r="77" s="27" customFormat="true" ht="91.5" hidden="false" customHeight="true" outlineLevel="0" collapsed="false">
      <c r="A77" s="21" t="s">
        <v>205</v>
      </c>
      <c r="B77" s="23" t="s">
        <v>206</v>
      </c>
      <c r="C77" s="23" t="s">
        <v>20</v>
      </c>
      <c r="D77" s="24" t="s">
        <v>207</v>
      </c>
      <c r="E77" s="25" t="s">
        <v>50</v>
      </c>
      <c r="F77" s="23" t="n">
        <v>28</v>
      </c>
      <c r="G77" s="23" t="n">
        <v>38.19</v>
      </c>
      <c r="H77" s="23" t="n">
        <v>49.01</v>
      </c>
      <c r="I77" s="23" t="n">
        <v>1372.28</v>
      </c>
      <c r="J77" s="26" t="n">
        <f aca="false">I77/$I$154</f>
        <v>0.0047347688421781</v>
      </c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</row>
    <row r="78" s="27" customFormat="true" ht="91.5" hidden="false" customHeight="true" outlineLevel="0" collapsed="false">
      <c r="A78" s="21" t="s">
        <v>208</v>
      </c>
      <c r="B78" s="23" t="s">
        <v>209</v>
      </c>
      <c r="C78" s="23" t="s">
        <v>20</v>
      </c>
      <c r="D78" s="24" t="s">
        <v>210</v>
      </c>
      <c r="E78" s="25" t="s">
        <v>50</v>
      </c>
      <c r="F78" s="23" t="n">
        <v>6</v>
      </c>
      <c r="G78" s="23" t="n">
        <v>38.67</v>
      </c>
      <c r="H78" s="23" t="n">
        <v>49.63</v>
      </c>
      <c r="I78" s="23" t="n">
        <v>297.78</v>
      </c>
      <c r="J78" s="26" t="n">
        <f aca="false">I78/$I$154</f>
        <v>0.00102742841535532</v>
      </c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</row>
    <row r="79" s="27" customFormat="true" ht="116.25" hidden="false" customHeight="true" outlineLevel="0" collapsed="false">
      <c r="A79" s="21" t="s">
        <v>211</v>
      </c>
      <c r="B79" s="23" t="s">
        <v>212</v>
      </c>
      <c r="C79" s="23" t="s">
        <v>27</v>
      </c>
      <c r="D79" s="24" t="s">
        <v>213</v>
      </c>
      <c r="E79" s="25" t="s">
        <v>214</v>
      </c>
      <c r="F79" s="23" t="n">
        <f aca="false">31+2</f>
        <v>33</v>
      </c>
      <c r="G79" s="23" t="n">
        <v>152.04</v>
      </c>
      <c r="H79" s="23" t="n">
        <v>195.14</v>
      </c>
      <c r="I79" s="23" t="n">
        <f aca="false">H79*F79</f>
        <v>6439.62</v>
      </c>
      <c r="J79" s="26" t="n">
        <f aca="false">I79/$I$154</f>
        <v>0.0222185793944873</v>
      </c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</row>
    <row r="80" s="27" customFormat="true" ht="116.25" hidden="false" customHeight="true" outlineLevel="0" collapsed="false">
      <c r="A80" s="21" t="s">
        <v>215</v>
      </c>
      <c r="B80" s="23" t="s">
        <v>216</v>
      </c>
      <c r="C80" s="23" t="s">
        <v>20</v>
      </c>
      <c r="D80" s="24" t="s">
        <v>217</v>
      </c>
      <c r="E80" s="25" t="s">
        <v>50</v>
      </c>
      <c r="F80" s="23" t="n">
        <v>4</v>
      </c>
      <c r="G80" s="23" t="n">
        <v>87.33</v>
      </c>
      <c r="H80" s="23" t="n">
        <v>112.08</v>
      </c>
      <c r="I80" s="23" t="n">
        <v>448.32</v>
      </c>
      <c r="J80" s="26" t="n">
        <f aca="false">I80/$I$154</f>
        <v>0.00154683560740176</v>
      </c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</row>
    <row r="81" s="27" customFormat="true" ht="116.25" hidden="false" customHeight="true" outlineLevel="0" collapsed="false">
      <c r="A81" s="21" t="s">
        <v>218</v>
      </c>
      <c r="B81" s="23" t="s">
        <v>219</v>
      </c>
      <c r="C81" s="23" t="s">
        <v>20</v>
      </c>
      <c r="D81" s="24" t="s">
        <v>220</v>
      </c>
      <c r="E81" s="25" t="s">
        <v>50</v>
      </c>
      <c r="F81" s="23" t="n">
        <v>1</v>
      </c>
      <c r="G81" s="23" t="n">
        <v>43.21</v>
      </c>
      <c r="H81" s="23" t="n">
        <v>55.46</v>
      </c>
      <c r="I81" s="23" t="n">
        <v>55.46</v>
      </c>
      <c r="J81" s="26" t="n">
        <f aca="false">I81/$I$154</f>
        <v>0.000191353280662254</v>
      </c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</row>
    <row r="82" s="27" customFormat="true" ht="116.25" hidden="false" customHeight="true" outlineLevel="0" collapsed="false">
      <c r="A82" s="21" t="s">
        <v>221</v>
      </c>
      <c r="B82" s="23" t="s">
        <v>222</v>
      </c>
      <c r="C82" s="23" t="s">
        <v>20</v>
      </c>
      <c r="D82" s="24" t="s">
        <v>223</v>
      </c>
      <c r="E82" s="25" t="s">
        <v>50</v>
      </c>
      <c r="F82" s="23" t="n">
        <v>2</v>
      </c>
      <c r="G82" s="23" t="n">
        <v>47.21</v>
      </c>
      <c r="H82" s="23" t="n">
        <v>60.59</v>
      </c>
      <c r="I82" s="23" t="n">
        <v>121.18</v>
      </c>
      <c r="J82" s="26" t="n">
        <f aca="false">I82/$I$154</f>
        <v>0.000418106573217669</v>
      </c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</row>
    <row r="83" s="27" customFormat="true" ht="116.25" hidden="false" customHeight="true" outlineLevel="0" collapsed="false">
      <c r="A83" s="21" t="s">
        <v>224</v>
      </c>
      <c r="B83" s="23" t="s">
        <v>225</v>
      </c>
      <c r="C83" s="23" t="s">
        <v>20</v>
      </c>
      <c r="D83" s="24" t="s">
        <v>226</v>
      </c>
      <c r="E83" s="25" t="s">
        <v>50</v>
      </c>
      <c r="F83" s="23" t="n">
        <v>10</v>
      </c>
      <c r="G83" s="23" t="n">
        <v>26.96</v>
      </c>
      <c r="H83" s="23" t="n">
        <v>34.6</v>
      </c>
      <c r="I83" s="23" t="n">
        <v>346</v>
      </c>
      <c r="J83" s="26" t="n">
        <f aca="false">I83/$I$154</f>
        <v>0.00119380157066606</v>
      </c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</row>
    <row r="84" s="27" customFormat="true" ht="80.25" hidden="false" customHeight="true" outlineLevel="0" collapsed="false">
      <c r="A84" s="21" t="s">
        <v>227</v>
      </c>
      <c r="B84" s="23" t="s">
        <v>228</v>
      </c>
      <c r="C84" s="23" t="s">
        <v>20</v>
      </c>
      <c r="D84" s="24" t="s">
        <v>229</v>
      </c>
      <c r="E84" s="25" t="s">
        <v>50</v>
      </c>
      <c r="F84" s="23" t="n">
        <f aca="false">1+13</f>
        <v>14</v>
      </c>
      <c r="G84" s="23" t="n">
        <v>40.61</v>
      </c>
      <c r="H84" s="23" t="n">
        <v>52.12</v>
      </c>
      <c r="I84" s="23" t="n">
        <f aca="false">H84*F84</f>
        <v>729.68</v>
      </c>
      <c r="J84" s="26" t="n">
        <f aca="false">I84/$I$154</f>
        <v>0.00251761020255379</v>
      </c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</row>
    <row r="85" s="27" customFormat="true" ht="80.25" hidden="false" customHeight="true" outlineLevel="0" collapsed="false">
      <c r="A85" s="21" t="s">
        <v>230</v>
      </c>
      <c r="B85" s="23" t="s">
        <v>231</v>
      </c>
      <c r="C85" s="23" t="s">
        <v>20</v>
      </c>
      <c r="D85" s="24" t="s">
        <v>232</v>
      </c>
      <c r="E85" s="25" t="s">
        <v>50</v>
      </c>
      <c r="F85" s="23" t="n">
        <v>6</v>
      </c>
      <c r="G85" s="23" t="n">
        <v>4.69</v>
      </c>
      <c r="H85" s="23" t="n">
        <v>6.01</v>
      </c>
      <c r="I85" s="23" t="n">
        <v>36.06</v>
      </c>
      <c r="J85" s="26" t="n">
        <f aca="false">I85/$I$154</f>
        <v>0.00012441758565959</v>
      </c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</row>
    <row r="86" s="27" customFormat="true" ht="80.25" hidden="false" customHeight="true" outlineLevel="0" collapsed="false">
      <c r="A86" s="21" t="s">
        <v>233</v>
      </c>
      <c r="B86" s="23" t="n">
        <v>62398</v>
      </c>
      <c r="C86" s="23" t="s">
        <v>44</v>
      </c>
      <c r="D86" s="24" t="s">
        <v>234</v>
      </c>
      <c r="E86" s="25" t="s">
        <v>50</v>
      </c>
      <c r="F86" s="23" t="n">
        <v>4</v>
      </c>
      <c r="G86" s="23" t="n">
        <v>441.3</v>
      </c>
      <c r="H86" s="23" t="n">
        <f aca="false">566.4*0.8445</f>
        <v>478.3248</v>
      </c>
      <c r="I86" s="23" t="n">
        <f aca="false">TRUNC(H86*F86,2)</f>
        <v>1913.29</v>
      </c>
      <c r="J86" s="26" t="n">
        <f aca="false">I86/$I$154</f>
        <v>0.00660141215936321</v>
      </c>
      <c r="K86" s="0"/>
      <c r="L86" s="0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</row>
    <row r="87" s="27" customFormat="true" ht="123" hidden="false" customHeight="true" outlineLevel="0" collapsed="false">
      <c r="A87" s="21" t="s">
        <v>235</v>
      </c>
      <c r="B87" s="23" t="n">
        <v>93145</v>
      </c>
      <c r="C87" s="23" t="s">
        <v>20</v>
      </c>
      <c r="D87" s="24" t="s">
        <v>236</v>
      </c>
      <c r="E87" s="25" t="s">
        <v>50</v>
      </c>
      <c r="F87" s="23" t="n">
        <v>1</v>
      </c>
      <c r="G87" s="23" t="n">
        <v>246.36</v>
      </c>
      <c r="H87" s="23" t="n">
        <f aca="false">(316.2*0.8445)-0.01</f>
        <v>267.0209</v>
      </c>
      <c r="I87" s="23" t="n">
        <f aca="false">H87*F87</f>
        <v>267.0209</v>
      </c>
      <c r="J87" s="26" t="n">
        <f aca="false">I87/$I$154</f>
        <v>0.000921300490811172</v>
      </c>
      <c r="K87" s="0"/>
      <c r="L87" s="0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</row>
    <row r="88" s="27" customFormat="true" ht="80.25" hidden="false" customHeight="true" outlineLevel="0" collapsed="false">
      <c r="A88" s="21" t="s">
        <v>237</v>
      </c>
      <c r="B88" s="23" t="n">
        <v>93142</v>
      </c>
      <c r="C88" s="23" t="s">
        <v>20</v>
      </c>
      <c r="D88" s="24" t="s">
        <v>238</v>
      </c>
      <c r="E88" s="25" t="s">
        <v>50</v>
      </c>
      <c r="F88" s="23" t="n">
        <v>4</v>
      </c>
      <c r="G88" s="23" t="n">
        <v>226.73</v>
      </c>
      <c r="H88" s="23" t="n">
        <f aca="false">291*0.8445</f>
        <v>245.7495</v>
      </c>
      <c r="I88" s="23" t="n">
        <f aca="false">TRUNC(H88*F88,2)</f>
        <v>982.99</v>
      </c>
      <c r="J88" s="26" t="n">
        <f aca="false">I88/$I$154</f>
        <v>0.00339160406343651</v>
      </c>
      <c r="K88" s="0"/>
      <c r="L88" s="0"/>
      <c r="M88" s="0"/>
      <c r="N88" s="0"/>
      <c r="O88" s="0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</row>
    <row r="89" s="27" customFormat="true" ht="46.5" hidden="false" customHeight="true" outlineLevel="0" collapsed="false">
      <c r="A89" s="38" t="s">
        <v>239</v>
      </c>
      <c r="B89" s="29"/>
      <c r="C89" s="29"/>
      <c r="D89" s="30" t="s">
        <v>240</v>
      </c>
      <c r="E89" s="31"/>
      <c r="F89" s="29"/>
      <c r="G89" s="29"/>
      <c r="H89" s="29"/>
      <c r="I89" s="29" t="n">
        <f aca="false">SUM(I90:I96)</f>
        <v>11141.75</v>
      </c>
      <c r="J89" s="39" t="n">
        <f aca="false">SUM(J90:J96)</f>
        <v>0.0384423082369035</v>
      </c>
      <c r="K89" s="0"/>
      <c r="L89" s="0"/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</row>
    <row r="90" s="27" customFormat="true" ht="80.25" hidden="false" customHeight="true" outlineLevel="0" collapsed="false">
      <c r="A90" s="21" t="s">
        <v>241</v>
      </c>
      <c r="B90" s="23" t="s">
        <v>242</v>
      </c>
      <c r="C90" s="23" t="s">
        <v>44</v>
      </c>
      <c r="D90" s="24" t="s">
        <v>243</v>
      </c>
      <c r="E90" s="25" t="s">
        <v>50</v>
      </c>
      <c r="F90" s="23" t="n">
        <f aca="false">34+20</f>
        <v>54</v>
      </c>
      <c r="G90" s="23" t="n">
        <v>42.57</v>
      </c>
      <c r="H90" s="23" t="n">
        <v>54.63</v>
      </c>
      <c r="I90" s="23" t="n">
        <f aca="false">H90*F90</f>
        <v>2950.02</v>
      </c>
      <c r="J90" s="26" t="n">
        <f aca="false">I90/$I$154</f>
        <v>0.0101784349985442</v>
      </c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</row>
    <row r="91" s="27" customFormat="true" ht="80.25" hidden="false" customHeight="true" outlineLevel="0" collapsed="false">
      <c r="A91" s="34" t="s">
        <v>244</v>
      </c>
      <c r="B91" s="35" t="s">
        <v>245</v>
      </c>
      <c r="C91" s="35" t="s">
        <v>20</v>
      </c>
      <c r="D91" s="36" t="s">
        <v>246</v>
      </c>
      <c r="E91" s="37" t="s">
        <v>50</v>
      </c>
      <c r="F91" s="35" t="n">
        <f aca="false">94-37</f>
        <v>57</v>
      </c>
      <c r="G91" s="35" t="n">
        <v>27.38</v>
      </c>
      <c r="H91" s="35" t="n">
        <v>35.14</v>
      </c>
      <c r="I91" s="35" t="n">
        <f aca="false">H91*F91</f>
        <v>2002.98</v>
      </c>
      <c r="J91" s="40" t="n">
        <f aca="false">I91/$I$154</f>
        <v>0.00691086898847604</v>
      </c>
      <c r="K91" s="0"/>
      <c r="L91" s="0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</row>
    <row r="92" s="27" customFormat="true" ht="80.25" hidden="false" customHeight="true" outlineLevel="0" collapsed="false">
      <c r="A92" s="34" t="s">
        <v>247</v>
      </c>
      <c r="B92" s="35" t="s">
        <v>248</v>
      </c>
      <c r="C92" s="35" t="s">
        <v>27</v>
      </c>
      <c r="D92" s="36" t="s">
        <v>249</v>
      </c>
      <c r="E92" s="37" t="s">
        <v>50</v>
      </c>
      <c r="F92" s="35" t="n">
        <v>0</v>
      </c>
      <c r="G92" s="35" t="n">
        <v>59.18</v>
      </c>
      <c r="H92" s="35" t="n">
        <v>75.95</v>
      </c>
      <c r="I92" s="35"/>
      <c r="J92" s="4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</row>
    <row r="93" s="27" customFormat="true" ht="80.25" hidden="false" customHeight="true" outlineLevel="0" collapsed="false">
      <c r="A93" s="21" t="s">
        <v>250</v>
      </c>
      <c r="B93" s="23" t="s">
        <v>251</v>
      </c>
      <c r="C93" s="23" t="s">
        <v>44</v>
      </c>
      <c r="D93" s="24" t="s">
        <v>252</v>
      </c>
      <c r="E93" s="25" t="s">
        <v>50</v>
      </c>
      <c r="F93" s="23" t="n">
        <v>22</v>
      </c>
      <c r="G93" s="23" t="n">
        <v>117.22</v>
      </c>
      <c r="H93" s="23" t="n">
        <v>150.45</v>
      </c>
      <c r="I93" s="23" t="n">
        <f aca="false">H93*F93</f>
        <v>3309.9</v>
      </c>
      <c r="J93" s="26" t="n">
        <f aca="false">I93/$I$154</f>
        <v>0.0114201266437792</v>
      </c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</row>
    <row r="94" s="27" customFormat="true" ht="80.25" hidden="false" customHeight="true" outlineLevel="0" collapsed="false">
      <c r="A94" s="21" t="s">
        <v>253</v>
      </c>
      <c r="B94" s="23" t="s">
        <v>254</v>
      </c>
      <c r="C94" s="23" t="s">
        <v>27</v>
      </c>
      <c r="D94" s="24" t="s">
        <v>255</v>
      </c>
      <c r="E94" s="25" t="s">
        <v>50</v>
      </c>
      <c r="F94" s="23" t="n">
        <v>9</v>
      </c>
      <c r="G94" s="23" t="n">
        <v>182.68</v>
      </c>
      <c r="H94" s="23" t="n">
        <v>234.46</v>
      </c>
      <c r="I94" s="23" t="n">
        <f aca="false">H94*F94</f>
        <v>2110.14</v>
      </c>
      <c r="J94" s="26" t="n">
        <f aca="false">I94/$I$154</f>
        <v>0.00728060244602683</v>
      </c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</row>
    <row r="95" s="27" customFormat="true" ht="80.25" hidden="false" customHeight="true" outlineLevel="0" collapsed="false">
      <c r="A95" s="21" t="s">
        <v>256</v>
      </c>
      <c r="B95" s="23" t="s">
        <v>257</v>
      </c>
      <c r="C95" s="23" t="s">
        <v>44</v>
      </c>
      <c r="D95" s="24" t="s">
        <v>258</v>
      </c>
      <c r="E95" s="25" t="s">
        <v>50</v>
      </c>
      <c r="F95" s="23" t="n">
        <v>22</v>
      </c>
      <c r="G95" s="23" t="n">
        <v>25.42</v>
      </c>
      <c r="H95" s="23" t="n">
        <f aca="false">+I95/F95</f>
        <v>33.4609090909091</v>
      </c>
      <c r="I95" s="23" t="n">
        <f aca="false">652.4+83.74</f>
        <v>736.14</v>
      </c>
      <c r="J95" s="26" t="n">
        <f aca="false">I95/$I$154</f>
        <v>0.00253989909893097</v>
      </c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</row>
    <row r="96" s="27" customFormat="true" ht="80.25" hidden="false" customHeight="true" outlineLevel="0" collapsed="false">
      <c r="A96" s="21" t="s">
        <v>259</v>
      </c>
      <c r="B96" s="23" t="s">
        <v>260</v>
      </c>
      <c r="C96" s="23" t="s">
        <v>20</v>
      </c>
      <c r="D96" s="24" t="s">
        <v>261</v>
      </c>
      <c r="E96" s="25" t="s">
        <v>50</v>
      </c>
      <c r="F96" s="23" t="n">
        <v>1</v>
      </c>
      <c r="G96" s="23" t="n">
        <v>25.38</v>
      </c>
      <c r="H96" s="23" t="n">
        <v>32.57</v>
      </c>
      <c r="I96" s="23" t="n">
        <v>32.57</v>
      </c>
      <c r="J96" s="26" t="n">
        <f aca="false">I96/$I$154</f>
        <v>0.000112376061146224</v>
      </c>
      <c r="K96" s="0"/>
      <c r="L96" s="0"/>
      <c r="M96" s="0"/>
      <c r="N96" s="0"/>
      <c r="O96" s="0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</row>
    <row r="97" s="27" customFormat="true" ht="35.25" hidden="false" customHeight="true" outlineLevel="0" collapsed="false">
      <c r="A97" s="38" t="n">
        <v>9</v>
      </c>
      <c r="B97" s="29"/>
      <c r="C97" s="29"/>
      <c r="D97" s="30" t="s">
        <v>262</v>
      </c>
      <c r="E97" s="31"/>
      <c r="F97" s="29"/>
      <c r="G97" s="29"/>
      <c r="H97" s="29"/>
      <c r="I97" s="29" t="n">
        <f aca="false">SUM(I98:I108)</f>
        <v>10554.75</v>
      </c>
      <c r="J97" s="39" t="n">
        <f aca="false">SUM(J98:J108)</f>
        <v>0.0364169859190394</v>
      </c>
      <c r="K97" s="0"/>
      <c r="L97" s="0"/>
      <c r="M97" s="0"/>
      <c r="N97" s="0"/>
      <c r="O97" s="0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</row>
    <row r="98" s="27" customFormat="true" ht="86.25" hidden="false" customHeight="true" outlineLevel="0" collapsed="false">
      <c r="A98" s="21" t="s">
        <v>263</v>
      </c>
      <c r="B98" s="23" t="s">
        <v>152</v>
      </c>
      <c r="C98" s="23" t="s">
        <v>27</v>
      </c>
      <c r="D98" s="24" t="s">
        <v>153</v>
      </c>
      <c r="E98" s="25" t="s">
        <v>71</v>
      </c>
      <c r="F98" s="23" t="n">
        <v>13.2</v>
      </c>
      <c r="G98" s="23" t="n">
        <v>48.61</v>
      </c>
      <c r="H98" s="23" t="n">
        <v>62.39</v>
      </c>
      <c r="I98" s="23" t="n">
        <v>823.54</v>
      </c>
      <c r="J98" s="26" t="n">
        <f aca="false">I98/$I$154</f>
        <v>0.00284145475579864</v>
      </c>
      <c r="K98" s="0"/>
      <c r="L98" s="0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</row>
    <row r="99" s="27" customFormat="true" ht="86.25" hidden="false" customHeight="true" outlineLevel="0" collapsed="false">
      <c r="A99" s="21" t="s">
        <v>264</v>
      </c>
      <c r="B99" s="23" t="s">
        <v>265</v>
      </c>
      <c r="C99" s="23" t="s">
        <v>20</v>
      </c>
      <c r="D99" s="24" t="s">
        <v>266</v>
      </c>
      <c r="E99" s="25" t="s">
        <v>71</v>
      </c>
      <c r="F99" s="23" t="n">
        <v>21.2</v>
      </c>
      <c r="G99" s="23" t="n">
        <v>32.98</v>
      </c>
      <c r="H99" s="23" t="n">
        <v>42.32</v>
      </c>
      <c r="I99" s="23" t="n">
        <v>897.18</v>
      </c>
      <c r="J99" s="26" t="n">
        <f aca="false">I99/$I$154</f>
        <v>0.00309553437332421</v>
      </c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</row>
    <row r="100" s="27" customFormat="true" ht="86.25" hidden="false" customHeight="true" outlineLevel="0" collapsed="false">
      <c r="A100" s="21" t="s">
        <v>267</v>
      </c>
      <c r="B100" s="23" t="s">
        <v>268</v>
      </c>
      <c r="C100" s="23" t="s">
        <v>20</v>
      </c>
      <c r="D100" s="24" t="s">
        <v>269</v>
      </c>
      <c r="E100" s="25" t="s">
        <v>71</v>
      </c>
      <c r="F100" s="23" t="n">
        <v>18.6</v>
      </c>
      <c r="G100" s="23" t="n">
        <v>16.31</v>
      </c>
      <c r="H100" s="23" t="n">
        <v>20.93</v>
      </c>
      <c r="I100" s="23" t="n">
        <v>389.29</v>
      </c>
      <c r="J100" s="26" t="n">
        <f aca="false">I100/$I$154</f>
        <v>0.00134316477874159</v>
      </c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</row>
    <row r="101" s="27" customFormat="true" ht="86.25" hidden="false" customHeight="true" outlineLevel="0" collapsed="false">
      <c r="A101" s="21" t="s">
        <v>270</v>
      </c>
      <c r="B101" s="23" t="s">
        <v>173</v>
      </c>
      <c r="C101" s="23" t="s">
        <v>20</v>
      </c>
      <c r="D101" s="24" t="s">
        <v>174</v>
      </c>
      <c r="E101" s="25" t="s">
        <v>71</v>
      </c>
      <c r="F101" s="23" t="n">
        <v>26.1</v>
      </c>
      <c r="G101" s="23" t="n">
        <v>33.36</v>
      </c>
      <c r="H101" s="23" t="n">
        <v>42.81</v>
      </c>
      <c r="I101" s="23" t="n">
        <v>1117.34</v>
      </c>
      <c r="J101" s="26" t="n">
        <f aca="false">I101/$I$154</f>
        <v>0.00385515100279774</v>
      </c>
      <c r="K101" s="0"/>
      <c r="L101" s="0"/>
      <c r="M101" s="0"/>
      <c r="N101" s="0"/>
      <c r="O101" s="0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</row>
    <row r="102" s="27" customFormat="true" ht="86.25" hidden="false" customHeight="true" outlineLevel="0" collapsed="false">
      <c r="A102" s="21" t="s">
        <v>271</v>
      </c>
      <c r="B102" s="23" t="s">
        <v>272</v>
      </c>
      <c r="C102" s="23" t="s">
        <v>20</v>
      </c>
      <c r="D102" s="24" t="s">
        <v>273</v>
      </c>
      <c r="E102" s="25" t="s">
        <v>50</v>
      </c>
      <c r="F102" s="23" t="n">
        <v>2</v>
      </c>
      <c r="G102" s="23" t="n">
        <v>23.77</v>
      </c>
      <c r="H102" s="23" t="n">
        <v>30.5</v>
      </c>
      <c r="I102" s="23" t="n">
        <v>61</v>
      </c>
      <c r="J102" s="26" t="n">
        <f aca="false">I102/$I$154</f>
        <v>0.000210467906967138</v>
      </c>
      <c r="K102" s="0"/>
      <c r="L102" s="0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</row>
    <row r="103" s="27" customFormat="true" ht="86.25" hidden="false" customHeight="true" outlineLevel="0" collapsed="false">
      <c r="A103" s="21" t="s">
        <v>274</v>
      </c>
      <c r="B103" s="23" t="s">
        <v>275</v>
      </c>
      <c r="C103" s="23" t="s">
        <v>20</v>
      </c>
      <c r="D103" s="24" t="s">
        <v>276</v>
      </c>
      <c r="E103" s="25" t="s">
        <v>50</v>
      </c>
      <c r="F103" s="23" t="n">
        <v>3</v>
      </c>
      <c r="G103" s="23" t="n">
        <v>49.85</v>
      </c>
      <c r="H103" s="23" t="n">
        <v>63.98</v>
      </c>
      <c r="I103" s="23" t="n">
        <v>191.94</v>
      </c>
      <c r="J103" s="26" t="n">
        <f aca="false">I103/$I$154</f>
        <v>0.000662249345299549</v>
      </c>
      <c r="K103" s="0"/>
      <c r="L103" s="0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</row>
    <row r="104" s="27" customFormat="true" ht="86.25" hidden="false" customHeight="true" outlineLevel="0" collapsed="false">
      <c r="A104" s="21" t="s">
        <v>277</v>
      </c>
      <c r="B104" s="23" t="s">
        <v>206</v>
      </c>
      <c r="C104" s="23" t="s">
        <v>20</v>
      </c>
      <c r="D104" s="24" t="s">
        <v>207</v>
      </c>
      <c r="E104" s="25" t="s">
        <v>50</v>
      </c>
      <c r="F104" s="23" t="n">
        <v>29</v>
      </c>
      <c r="G104" s="23" t="n">
        <v>38.19</v>
      </c>
      <c r="H104" s="23" t="n">
        <v>49.01</v>
      </c>
      <c r="I104" s="23" t="n">
        <v>1421.29</v>
      </c>
      <c r="J104" s="26" t="n">
        <f aca="false">I104/$I$154</f>
        <v>0.00490386772939875</v>
      </c>
      <c r="K104" s="0"/>
      <c r="L104" s="0"/>
      <c r="M104" s="0"/>
      <c r="N104" s="0"/>
      <c r="O104" s="0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</row>
    <row r="105" s="27" customFormat="true" ht="86.25" hidden="false" customHeight="true" outlineLevel="0" collapsed="false">
      <c r="A105" s="21" t="s">
        <v>278</v>
      </c>
      <c r="B105" s="23" t="s">
        <v>279</v>
      </c>
      <c r="C105" s="23" t="s">
        <v>20</v>
      </c>
      <c r="D105" s="24" t="s">
        <v>280</v>
      </c>
      <c r="E105" s="25" t="s">
        <v>50</v>
      </c>
      <c r="F105" s="23" t="n">
        <v>2</v>
      </c>
      <c r="G105" s="23" t="n">
        <v>26.2</v>
      </c>
      <c r="H105" s="23" t="n">
        <v>33.62</v>
      </c>
      <c r="I105" s="23" t="n">
        <v>67.24</v>
      </c>
      <c r="J105" s="26" t="n">
        <f aca="false">I105/$I$154</f>
        <v>0.000231997738761809</v>
      </c>
      <c r="K105" s="0"/>
      <c r="L105" s="0"/>
      <c r="M105" s="0"/>
      <c r="N105" s="0"/>
      <c r="O105" s="0"/>
      <c r="P105" s="0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</row>
    <row r="106" s="27" customFormat="true" ht="86.25" hidden="false" customHeight="true" outlineLevel="0" collapsed="false">
      <c r="A106" s="21" t="s">
        <v>281</v>
      </c>
      <c r="B106" s="23" t="s">
        <v>282</v>
      </c>
      <c r="C106" s="23" t="s">
        <v>20</v>
      </c>
      <c r="D106" s="24" t="s">
        <v>283</v>
      </c>
      <c r="E106" s="25" t="s">
        <v>50</v>
      </c>
      <c r="F106" s="23" t="n">
        <v>1</v>
      </c>
      <c r="G106" s="23" t="n">
        <v>24.3</v>
      </c>
      <c r="H106" s="23" t="n">
        <v>31.18</v>
      </c>
      <c r="I106" s="23" t="n">
        <v>31.18</v>
      </c>
      <c r="J106" s="26" t="n">
        <f aca="false">I106/$I$154</f>
        <v>0.000107580153102219</v>
      </c>
      <c r="K106" s="0"/>
      <c r="L106" s="0"/>
      <c r="M106" s="0"/>
      <c r="N106" s="0"/>
      <c r="O106" s="0"/>
      <c r="P106" s="0"/>
      <c r="Q106" s="0"/>
      <c r="R106" s="0"/>
      <c r="S106" s="0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</row>
    <row r="107" s="27" customFormat="true" ht="80.25" hidden="false" customHeight="true" outlineLevel="0" collapsed="false">
      <c r="A107" s="21" t="s">
        <v>284</v>
      </c>
      <c r="B107" s="23" t="s">
        <v>285</v>
      </c>
      <c r="C107" s="23" t="s">
        <v>20</v>
      </c>
      <c r="D107" s="24" t="s">
        <v>286</v>
      </c>
      <c r="E107" s="25" t="s">
        <v>103</v>
      </c>
      <c r="F107" s="23" t="n">
        <f aca="false">1089+76</f>
        <v>1165</v>
      </c>
      <c r="G107" s="23" t="n">
        <v>2.83</v>
      </c>
      <c r="H107" s="23" t="n">
        <v>3.63</v>
      </c>
      <c r="I107" s="23" t="n">
        <f aca="false">H107*F107</f>
        <v>4228.95</v>
      </c>
      <c r="J107" s="26" t="n">
        <f aca="false">I107/$I$154</f>
        <v>0.0145911189371915</v>
      </c>
      <c r="K107" s="0"/>
      <c r="L107" s="0"/>
      <c r="M107" s="0"/>
      <c r="N107" s="0"/>
      <c r="O107" s="0"/>
      <c r="P107" s="0"/>
      <c r="Q107" s="0"/>
      <c r="R107" s="0"/>
      <c r="S107" s="0"/>
      <c r="T107" s="0"/>
      <c r="U107" s="0"/>
      <c r="V107" s="0"/>
      <c r="W107" s="0"/>
      <c r="X107" s="0"/>
      <c r="Y107" s="0"/>
      <c r="Z107" s="0"/>
      <c r="AA107" s="0"/>
      <c r="AB107" s="0"/>
      <c r="AC107" s="0"/>
      <c r="AD107" s="0"/>
      <c r="AE107" s="0"/>
      <c r="AF107" s="0"/>
      <c r="AG107" s="0"/>
      <c r="AH107" s="0"/>
    </row>
    <row r="108" s="27" customFormat="true" ht="80.25" hidden="false" customHeight="true" outlineLevel="0" collapsed="false">
      <c r="A108" s="21" t="s">
        <v>287</v>
      </c>
      <c r="B108" s="23" t="s">
        <v>285</v>
      </c>
      <c r="C108" s="23" t="s">
        <v>44</v>
      </c>
      <c r="D108" s="24" t="s">
        <v>288</v>
      </c>
      <c r="E108" s="25" t="s">
        <v>50</v>
      </c>
      <c r="F108" s="23" t="n">
        <v>35</v>
      </c>
      <c r="G108" s="23" t="n">
        <v>29.52</v>
      </c>
      <c r="H108" s="23" t="n">
        <v>37.88</v>
      </c>
      <c r="I108" s="23" t="n">
        <f aca="false">H108*F108</f>
        <v>1325.8</v>
      </c>
      <c r="J108" s="26" t="n">
        <f aca="false">I108/$I$154</f>
        <v>0.00457439919765626</v>
      </c>
      <c r="K108" s="0"/>
      <c r="L108" s="0"/>
      <c r="M108" s="0"/>
      <c r="N108" s="0"/>
      <c r="O108" s="0"/>
      <c r="P108" s="0"/>
      <c r="Q108" s="0"/>
      <c r="R108" s="0"/>
      <c r="S108" s="0"/>
      <c r="T108" s="0"/>
      <c r="U108" s="0"/>
      <c r="V108" s="0"/>
      <c r="W108" s="0"/>
      <c r="X108" s="0"/>
      <c r="Y108" s="0"/>
      <c r="Z108" s="0"/>
      <c r="AA108" s="0"/>
      <c r="AB108" s="0"/>
      <c r="AC108" s="0"/>
      <c r="AD108" s="0"/>
      <c r="AE108" s="0"/>
      <c r="AF108" s="0"/>
      <c r="AG108" s="0"/>
      <c r="AH108" s="0"/>
    </row>
    <row r="109" s="27" customFormat="true" ht="42" hidden="false" customHeight="true" outlineLevel="0" collapsed="false">
      <c r="A109" s="38" t="n">
        <v>10</v>
      </c>
      <c r="B109" s="29"/>
      <c r="C109" s="29"/>
      <c r="D109" s="30" t="s">
        <v>289</v>
      </c>
      <c r="E109" s="31"/>
      <c r="F109" s="29"/>
      <c r="G109" s="29"/>
      <c r="H109" s="29"/>
      <c r="I109" s="29" t="n">
        <f aca="false">SUM(I110:I118)</f>
        <v>8582.4418</v>
      </c>
      <c r="J109" s="39" t="n">
        <f aca="false">SUM(J110:J118)</f>
        <v>0.02961194364448</v>
      </c>
      <c r="K109" s="0"/>
      <c r="L109" s="0"/>
      <c r="M109" s="0"/>
      <c r="N109" s="0"/>
      <c r="O109" s="0"/>
      <c r="P109" s="0"/>
      <c r="Q109" s="0"/>
      <c r="R109" s="0"/>
      <c r="S109" s="0"/>
      <c r="T109" s="0"/>
      <c r="U109" s="0"/>
      <c r="V109" s="0"/>
      <c r="W109" s="0"/>
      <c r="X109" s="0"/>
      <c r="Y109" s="0"/>
      <c r="Z109" s="0"/>
      <c r="AA109" s="0"/>
      <c r="AB109" s="0"/>
      <c r="AC109" s="0"/>
      <c r="AD109" s="0"/>
      <c r="AE109" s="0"/>
      <c r="AF109" s="0"/>
      <c r="AG109" s="0"/>
      <c r="AH109" s="0"/>
    </row>
    <row r="110" s="27" customFormat="true" ht="80.25" hidden="false" customHeight="true" outlineLevel="0" collapsed="false">
      <c r="A110" s="21" t="s">
        <v>290</v>
      </c>
      <c r="B110" s="23" t="s">
        <v>152</v>
      </c>
      <c r="C110" s="23" t="s">
        <v>27</v>
      </c>
      <c r="D110" s="24" t="s">
        <v>153</v>
      </c>
      <c r="E110" s="25" t="s">
        <v>103</v>
      </c>
      <c r="F110" s="23" t="n">
        <f aca="false">25.58+45.04</f>
        <v>70.62</v>
      </c>
      <c r="G110" s="23" t="n">
        <v>48.61</v>
      </c>
      <c r="H110" s="23" t="n">
        <v>62.39</v>
      </c>
      <c r="I110" s="23" t="n">
        <f aca="false">H110*F110</f>
        <v>4405.9818</v>
      </c>
      <c r="J110" s="26" t="n">
        <f aca="false">I110/$I$154</f>
        <v>0.015201930616087</v>
      </c>
      <c r="K110" s="0"/>
      <c r="L110" s="0"/>
      <c r="M110" s="0"/>
      <c r="N110" s="0"/>
      <c r="O110" s="0"/>
      <c r="P110" s="0"/>
      <c r="Q110" s="0"/>
      <c r="R110" s="0"/>
      <c r="S110" s="0"/>
      <c r="T110" s="0"/>
      <c r="U110" s="0"/>
      <c r="V110" s="0"/>
      <c r="W110" s="0"/>
      <c r="X110" s="0"/>
      <c r="Y110" s="0"/>
      <c r="Z110" s="0"/>
      <c r="AA110" s="0"/>
      <c r="AB110" s="0"/>
      <c r="AC110" s="0"/>
      <c r="AD110" s="0"/>
      <c r="AE110" s="0"/>
      <c r="AF110" s="0"/>
      <c r="AG110" s="0"/>
      <c r="AH110" s="0"/>
    </row>
    <row r="111" s="27" customFormat="true" ht="80.25" hidden="false" customHeight="true" outlineLevel="0" collapsed="false">
      <c r="A111" s="21" t="s">
        <v>291</v>
      </c>
      <c r="B111" s="23" t="s">
        <v>265</v>
      </c>
      <c r="C111" s="23" t="s">
        <v>20</v>
      </c>
      <c r="D111" s="24" t="s">
        <v>266</v>
      </c>
      <c r="E111" s="25" t="s">
        <v>71</v>
      </c>
      <c r="F111" s="23" t="n">
        <v>21.2</v>
      </c>
      <c r="G111" s="23" t="n">
        <v>32.98</v>
      </c>
      <c r="H111" s="23" t="n">
        <v>42.32</v>
      </c>
      <c r="I111" s="23" t="n">
        <v>897.18</v>
      </c>
      <c r="J111" s="26" t="n">
        <f aca="false">I111/$I$154</f>
        <v>0.00309553437332421</v>
      </c>
      <c r="K111" s="0"/>
      <c r="L111" s="0"/>
      <c r="M111" s="0"/>
      <c r="N111" s="0"/>
      <c r="O111" s="0"/>
      <c r="P111" s="0"/>
      <c r="Q111" s="0"/>
      <c r="R111" s="0"/>
      <c r="S111" s="0"/>
      <c r="T111" s="0"/>
      <c r="U111" s="0"/>
      <c r="V111" s="0"/>
      <c r="W111" s="0"/>
      <c r="X111" s="0"/>
      <c r="Y111" s="0"/>
      <c r="Z111" s="0"/>
      <c r="AA111" s="0"/>
      <c r="AB111" s="0"/>
      <c r="AC111" s="0"/>
      <c r="AD111" s="0"/>
      <c r="AE111" s="0"/>
      <c r="AF111" s="0"/>
      <c r="AG111" s="0"/>
      <c r="AH111" s="0"/>
    </row>
    <row r="112" s="27" customFormat="true" ht="80.25" hidden="false" customHeight="true" outlineLevel="0" collapsed="false">
      <c r="A112" s="21" t="s">
        <v>292</v>
      </c>
      <c r="B112" s="23" t="s">
        <v>268</v>
      </c>
      <c r="C112" s="23" t="s">
        <v>20</v>
      </c>
      <c r="D112" s="24" t="s">
        <v>269</v>
      </c>
      <c r="E112" s="25" t="s">
        <v>71</v>
      </c>
      <c r="F112" s="23" t="n">
        <v>18.6</v>
      </c>
      <c r="G112" s="23" t="n">
        <v>16.31</v>
      </c>
      <c r="H112" s="23" t="n">
        <v>20.93</v>
      </c>
      <c r="I112" s="23" t="n">
        <v>389.29</v>
      </c>
      <c r="J112" s="26" t="n">
        <f aca="false">I112/$I$154</f>
        <v>0.00134316477874159</v>
      </c>
      <c r="K112" s="0"/>
      <c r="L112" s="0"/>
      <c r="M112" s="0"/>
      <c r="N112" s="0"/>
      <c r="O112" s="0"/>
      <c r="P112" s="0"/>
      <c r="Q112" s="0"/>
      <c r="R112" s="0"/>
      <c r="S112" s="0"/>
      <c r="T112" s="0"/>
      <c r="U112" s="0"/>
      <c r="V112" s="0"/>
      <c r="W112" s="0"/>
      <c r="X112" s="0"/>
      <c r="Y112" s="0"/>
      <c r="Z112" s="0"/>
      <c r="AA112" s="0"/>
      <c r="AB112" s="0"/>
      <c r="AC112" s="0"/>
      <c r="AD112" s="0"/>
      <c r="AE112" s="0"/>
      <c r="AF112" s="0"/>
      <c r="AG112" s="0"/>
      <c r="AH112" s="0"/>
    </row>
    <row r="113" s="27" customFormat="true" ht="80.25" hidden="false" customHeight="true" outlineLevel="0" collapsed="false">
      <c r="A113" s="21" t="s">
        <v>293</v>
      </c>
      <c r="B113" s="23" t="s">
        <v>173</v>
      </c>
      <c r="C113" s="23" t="s">
        <v>20</v>
      </c>
      <c r="D113" s="24" t="s">
        <v>174</v>
      </c>
      <c r="E113" s="25" t="s">
        <v>71</v>
      </c>
      <c r="F113" s="23" t="n">
        <v>26.1</v>
      </c>
      <c r="G113" s="23" t="n">
        <v>33.36</v>
      </c>
      <c r="H113" s="23" t="n">
        <v>42.81</v>
      </c>
      <c r="I113" s="23" t="n">
        <v>1117.34</v>
      </c>
      <c r="J113" s="26" t="n">
        <f aca="false">I113/$I$154</f>
        <v>0.00385515100279774</v>
      </c>
      <c r="K113" s="0"/>
      <c r="L113" s="0"/>
      <c r="M113" s="0"/>
      <c r="N113" s="0"/>
      <c r="O113" s="0"/>
      <c r="P113" s="0"/>
      <c r="Q113" s="0"/>
      <c r="R113" s="0"/>
      <c r="S113" s="0"/>
      <c r="T113" s="0"/>
      <c r="U113" s="0"/>
      <c r="V113" s="0"/>
      <c r="W113" s="0"/>
      <c r="X113" s="0"/>
      <c r="Y113" s="0"/>
      <c r="Z113" s="0"/>
      <c r="AA113" s="0"/>
      <c r="AB113" s="0"/>
      <c r="AC113" s="0"/>
      <c r="AD113" s="0"/>
      <c r="AE113" s="0"/>
      <c r="AF113" s="0"/>
      <c r="AG113" s="0"/>
      <c r="AH113" s="0"/>
    </row>
    <row r="114" s="27" customFormat="true" ht="80.25" hidden="false" customHeight="true" outlineLevel="0" collapsed="false">
      <c r="A114" s="21" t="s">
        <v>294</v>
      </c>
      <c r="B114" s="23" t="s">
        <v>272</v>
      </c>
      <c r="C114" s="23" t="s">
        <v>20</v>
      </c>
      <c r="D114" s="24" t="s">
        <v>273</v>
      </c>
      <c r="E114" s="25" t="s">
        <v>50</v>
      </c>
      <c r="F114" s="23" t="n">
        <v>2</v>
      </c>
      <c r="G114" s="23" t="n">
        <v>23.77</v>
      </c>
      <c r="H114" s="23" t="n">
        <v>30.5</v>
      </c>
      <c r="I114" s="23" t="n">
        <v>61</v>
      </c>
      <c r="J114" s="26" t="n">
        <f aca="false">I114/$I$154</f>
        <v>0.000210467906967138</v>
      </c>
      <c r="K114" s="0"/>
      <c r="L114" s="0"/>
      <c r="M114" s="0"/>
      <c r="N114" s="0"/>
      <c r="O114" s="0"/>
      <c r="P114" s="0"/>
      <c r="Q114" s="0"/>
      <c r="R114" s="0"/>
      <c r="S114" s="0"/>
      <c r="T114" s="0"/>
      <c r="U114" s="0"/>
      <c r="V114" s="0"/>
      <c r="W114" s="0"/>
      <c r="X114" s="0"/>
      <c r="Y114" s="0"/>
      <c r="Z114" s="0"/>
      <c r="AA114" s="0"/>
      <c r="AB114" s="0"/>
      <c r="AC114" s="0"/>
      <c r="AD114" s="0"/>
      <c r="AE114" s="0"/>
      <c r="AF114" s="0"/>
      <c r="AG114" s="0"/>
      <c r="AH114" s="0"/>
    </row>
    <row r="115" s="27" customFormat="true" ht="80.25" hidden="false" customHeight="true" outlineLevel="0" collapsed="false">
      <c r="A115" s="21" t="s">
        <v>295</v>
      </c>
      <c r="B115" s="23" t="s">
        <v>275</v>
      </c>
      <c r="C115" s="23" t="s">
        <v>20</v>
      </c>
      <c r="D115" s="24" t="s">
        <v>276</v>
      </c>
      <c r="E115" s="25" t="s">
        <v>50</v>
      </c>
      <c r="F115" s="23" t="n">
        <v>3</v>
      </c>
      <c r="G115" s="23" t="n">
        <v>49.85</v>
      </c>
      <c r="H115" s="23" t="n">
        <v>63.98</v>
      </c>
      <c r="I115" s="23" t="n">
        <v>191.94</v>
      </c>
      <c r="J115" s="26" t="n">
        <f aca="false">I115/$I$154</f>
        <v>0.000662249345299549</v>
      </c>
      <c r="K115" s="0"/>
      <c r="L115" s="0"/>
      <c r="M115" s="0"/>
      <c r="N115" s="0"/>
      <c r="O115" s="0"/>
      <c r="P115" s="0"/>
      <c r="Q115" s="0"/>
      <c r="R115" s="0"/>
      <c r="S115" s="0"/>
      <c r="T115" s="0"/>
      <c r="U115" s="0"/>
      <c r="V115" s="0"/>
      <c r="W115" s="0"/>
      <c r="X115" s="0"/>
      <c r="Y115" s="0"/>
      <c r="Z115" s="0"/>
      <c r="AA115" s="0"/>
      <c r="AB115" s="0"/>
      <c r="AC115" s="0"/>
      <c r="AD115" s="0"/>
      <c r="AE115" s="0"/>
      <c r="AF115" s="0"/>
      <c r="AG115" s="0"/>
      <c r="AH115" s="0"/>
    </row>
    <row r="116" s="27" customFormat="true" ht="80.25" hidden="false" customHeight="true" outlineLevel="0" collapsed="false">
      <c r="A116" s="21" t="s">
        <v>296</v>
      </c>
      <c r="B116" s="23" t="s">
        <v>206</v>
      </c>
      <c r="C116" s="23" t="s">
        <v>20</v>
      </c>
      <c r="D116" s="24" t="s">
        <v>207</v>
      </c>
      <c r="E116" s="25" t="s">
        <v>50</v>
      </c>
      <c r="F116" s="23" t="n">
        <v>29</v>
      </c>
      <c r="G116" s="23" t="n">
        <v>38.19</v>
      </c>
      <c r="H116" s="23" t="n">
        <v>49.01</v>
      </c>
      <c r="I116" s="23" t="n">
        <v>1421.29</v>
      </c>
      <c r="J116" s="26" t="n">
        <f aca="false">I116/$I$154</f>
        <v>0.00490386772939875</v>
      </c>
      <c r="K116" s="0"/>
      <c r="L116" s="0"/>
      <c r="M116" s="0"/>
      <c r="N116" s="0"/>
      <c r="O116" s="0"/>
      <c r="P116" s="0"/>
      <c r="Q116" s="0"/>
      <c r="R116" s="0"/>
      <c r="S116" s="0"/>
      <c r="T116" s="0"/>
      <c r="U116" s="0"/>
      <c r="V116" s="0"/>
      <c r="W116" s="0"/>
      <c r="X116" s="0"/>
      <c r="Y116" s="0"/>
      <c r="Z116" s="0"/>
      <c r="AA116" s="0"/>
      <c r="AB116" s="0"/>
      <c r="AC116" s="0"/>
      <c r="AD116" s="0"/>
      <c r="AE116" s="0"/>
      <c r="AF116" s="0"/>
      <c r="AG116" s="0"/>
      <c r="AH116" s="0"/>
    </row>
    <row r="117" s="27" customFormat="true" ht="80.25" hidden="false" customHeight="true" outlineLevel="0" collapsed="false">
      <c r="A117" s="21" t="s">
        <v>297</v>
      </c>
      <c r="B117" s="23" t="s">
        <v>279</v>
      </c>
      <c r="C117" s="23" t="s">
        <v>20</v>
      </c>
      <c r="D117" s="24" t="s">
        <v>280</v>
      </c>
      <c r="E117" s="25" t="s">
        <v>50</v>
      </c>
      <c r="F117" s="23" t="n">
        <v>2</v>
      </c>
      <c r="G117" s="23" t="n">
        <v>26.2</v>
      </c>
      <c r="H117" s="23" t="n">
        <v>33.62</v>
      </c>
      <c r="I117" s="23" t="n">
        <v>67.24</v>
      </c>
      <c r="J117" s="26" t="n">
        <f aca="false">I117/$I$154</f>
        <v>0.000231997738761809</v>
      </c>
      <c r="K117" s="0"/>
      <c r="L117" s="0"/>
      <c r="M117" s="0"/>
      <c r="N117" s="0"/>
      <c r="O117" s="0"/>
      <c r="P117" s="0"/>
      <c r="Q117" s="0"/>
      <c r="R117" s="0"/>
      <c r="S117" s="0"/>
      <c r="T117" s="0"/>
      <c r="U117" s="0"/>
      <c r="V117" s="0"/>
      <c r="W117" s="0"/>
      <c r="X117" s="0"/>
      <c r="Y117" s="0"/>
      <c r="Z117" s="0"/>
      <c r="AA117" s="0"/>
      <c r="AB117" s="0"/>
      <c r="AC117" s="0"/>
      <c r="AD117" s="0"/>
      <c r="AE117" s="0"/>
      <c r="AF117" s="0"/>
      <c r="AG117" s="0"/>
      <c r="AH117" s="0"/>
    </row>
    <row r="118" s="27" customFormat="true" ht="80.25" hidden="false" customHeight="true" outlineLevel="0" collapsed="false">
      <c r="A118" s="21" t="s">
        <v>298</v>
      </c>
      <c r="B118" s="23" t="s">
        <v>282</v>
      </c>
      <c r="C118" s="23" t="s">
        <v>20</v>
      </c>
      <c r="D118" s="24" t="s">
        <v>283</v>
      </c>
      <c r="E118" s="25" t="s">
        <v>50</v>
      </c>
      <c r="F118" s="23" t="n">
        <v>1</v>
      </c>
      <c r="G118" s="23" t="n">
        <v>24.3</v>
      </c>
      <c r="H118" s="23" t="n">
        <v>31.18</v>
      </c>
      <c r="I118" s="23" t="n">
        <v>31.18</v>
      </c>
      <c r="J118" s="26" t="n">
        <f aca="false">I118/$I$154</f>
        <v>0.000107580153102219</v>
      </c>
      <c r="K118" s="0"/>
      <c r="L118" s="0"/>
      <c r="M118" s="0"/>
      <c r="N118" s="0"/>
      <c r="O118" s="0"/>
      <c r="P118" s="0"/>
      <c r="Q118" s="0"/>
      <c r="R118" s="0"/>
      <c r="S118" s="0"/>
      <c r="T118" s="0"/>
      <c r="U118" s="0"/>
      <c r="V118" s="0"/>
      <c r="W118" s="0"/>
      <c r="X118" s="0"/>
      <c r="Y118" s="0"/>
      <c r="Z118" s="0"/>
      <c r="AA118" s="0"/>
      <c r="AB118" s="0"/>
      <c r="AC118" s="0"/>
      <c r="AD118" s="0"/>
      <c r="AE118" s="0"/>
      <c r="AF118" s="0"/>
      <c r="AG118" s="0"/>
      <c r="AH118" s="0"/>
    </row>
    <row r="119" s="27" customFormat="true" ht="37.5" hidden="false" customHeight="true" outlineLevel="0" collapsed="false">
      <c r="A119" s="38" t="n">
        <v>11</v>
      </c>
      <c r="B119" s="29"/>
      <c r="C119" s="29"/>
      <c r="D119" s="30" t="s">
        <v>299</v>
      </c>
      <c r="E119" s="31"/>
      <c r="F119" s="29"/>
      <c r="G119" s="29"/>
      <c r="H119" s="29"/>
      <c r="I119" s="29" t="n">
        <f aca="false">SUM(I120)</f>
        <v>4721.16</v>
      </c>
      <c r="J119" s="39" t="n">
        <f aca="false">SUM(J120)</f>
        <v>0.0162893879288029</v>
      </c>
      <c r="K119" s="0"/>
      <c r="L119" s="0"/>
      <c r="M119" s="0"/>
      <c r="N119" s="0"/>
      <c r="O119" s="0"/>
      <c r="P119" s="0"/>
      <c r="Q119" s="0"/>
      <c r="R119" s="0"/>
      <c r="S119" s="0"/>
      <c r="T119" s="0"/>
      <c r="U119" s="0"/>
      <c r="V119" s="0"/>
      <c r="W119" s="0"/>
      <c r="X119" s="0"/>
      <c r="Y119" s="0"/>
      <c r="Z119" s="0"/>
      <c r="AA119" s="0"/>
      <c r="AB119" s="0"/>
      <c r="AC119" s="0"/>
      <c r="AD119" s="0"/>
      <c r="AE119" s="0"/>
      <c r="AF119" s="0"/>
      <c r="AG119" s="0"/>
      <c r="AH119" s="0"/>
    </row>
    <row r="120" s="27" customFormat="true" ht="120" hidden="false" customHeight="true" outlineLevel="0" collapsed="false">
      <c r="A120" s="21" t="s">
        <v>300</v>
      </c>
      <c r="B120" s="23" t="n">
        <v>90793</v>
      </c>
      <c r="C120" s="23" t="s">
        <v>20</v>
      </c>
      <c r="D120" s="24" t="s">
        <v>301</v>
      </c>
      <c r="E120" s="25" t="s">
        <v>50</v>
      </c>
      <c r="F120" s="23" t="n">
        <v>4</v>
      </c>
      <c r="G120" s="23" t="n">
        <v>919.59</v>
      </c>
      <c r="H120" s="23" t="n">
        <v>1180.29</v>
      </c>
      <c r="I120" s="23" t="n">
        <f aca="false">H120*F120</f>
        <v>4721.16</v>
      </c>
      <c r="J120" s="26" t="n">
        <f aca="false">I120/$I$154</f>
        <v>0.0162893879288029</v>
      </c>
      <c r="K120" s="0"/>
      <c r="L120" s="0"/>
      <c r="M120" s="0"/>
      <c r="N120" s="0"/>
      <c r="O120" s="0"/>
      <c r="P120" s="0"/>
      <c r="Q120" s="0"/>
      <c r="R120" s="0"/>
      <c r="S120" s="0"/>
      <c r="T120" s="0"/>
      <c r="U120" s="0"/>
      <c r="V120" s="0"/>
      <c r="W120" s="0"/>
      <c r="X120" s="0"/>
      <c r="Y120" s="0"/>
      <c r="Z120" s="0"/>
      <c r="AA120" s="0"/>
      <c r="AB120" s="0"/>
      <c r="AC120" s="0"/>
      <c r="AD120" s="0"/>
      <c r="AE120" s="0"/>
      <c r="AF120" s="0"/>
      <c r="AG120" s="0"/>
      <c r="AH120" s="0"/>
    </row>
    <row r="121" s="27" customFormat="true" ht="36" hidden="false" customHeight="true" outlineLevel="0" collapsed="false">
      <c r="A121" s="38" t="n">
        <v>12</v>
      </c>
      <c r="B121" s="29"/>
      <c r="C121" s="29"/>
      <c r="D121" s="30" t="s">
        <v>302</v>
      </c>
      <c r="E121" s="31"/>
      <c r="F121" s="29"/>
      <c r="G121" s="29"/>
      <c r="H121" s="29"/>
      <c r="I121" s="29" t="n">
        <f aca="false">SUM(I122:I125)</f>
        <v>18042.18</v>
      </c>
      <c r="J121" s="39" t="n">
        <f aca="false">SUM(J123:J125)</f>
        <v>0.0611725661658699</v>
      </c>
      <c r="K121" s="0"/>
      <c r="L121" s="0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</row>
    <row r="122" s="27" customFormat="true" ht="78" hidden="false" customHeight="true" outlineLevel="0" collapsed="false">
      <c r="A122" s="21" t="s">
        <v>303</v>
      </c>
      <c r="B122" s="23" t="s">
        <v>304</v>
      </c>
      <c r="C122" s="23" t="s">
        <v>20</v>
      </c>
      <c r="D122" s="24" t="s">
        <v>305</v>
      </c>
      <c r="E122" s="25" t="s">
        <v>86</v>
      </c>
      <c r="F122" s="23" t="n">
        <v>0.37</v>
      </c>
      <c r="G122" s="23" t="n">
        <v>658.08</v>
      </c>
      <c r="H122" s="23" t="n">
        <v>844.64</v>
      </c>
      <c r="I122" s="23" t="n">
        <v>312.51</v>
      </c>
      <c r="J122" s="26" t="n">
        <f aca="false">I122/$I$154</f>
        <v>0.00107825123944755</v>
      </c>
      <c r="K122" s="0"/>
      <c r="L122" s="0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</row>
    <row r="123" s="27" customFormat="true" ht="80.25" hidden="false" customHeight="true" outlineLevel="0" collapsed="false">
      <c r="A123" s="21" t="s">
        <v>306</v>
      </c>
      <c r="B123" s="23" t="s">
        <v>307</v>
      </c>
      <c r="C123" s="23" t="s">
        <v>20</v>
      </c>
      <c r="D123" s="24" t="s">
        <v>308</v>
      </c>
      <c r="E123" s="25" t="s">
        <v>54</v>
      </c>
      <c r="F123" s="23" t="n">
        <f aca="false">7.73+15.29902</f>
        <v>23.02902</v>
      </c>
      <c r="G123" s="23" t="n">
        <v>333.89</v>
      </c>
      <c r="H123" s="23" t="n">
        <v>428.54</v>
      </c>
      <c r="I123" s="23" t="n">
        <f aca="false">TRUNC(H123*F123,2)</f>
        <v>9868.85</v>
      </c>
      <c r="J123" s="26" t="n">
        <f aca="false">I123/$I$154</f>
        <v>0.034050429568404</v>
      </c>
      <c r="K123" s="0"/>
      <c r="L123" s="0"/>
      <c r="M123" s="0"/>
      <c r="N123" s="0"/>
      <c r="O123" s="0"/>
      <c r="P123" s="0"/>
      <c r="Q123" s="0"/>
      <c r="R123" s="0"/>
      <c r="S123" s="0"/>
      <c r="T123" s="0"/>
      <c r="U123" s="0"/>
      <c r="V123" s="0"/>
      <c r="W123" s="0"/>
      <c r="X123" s="0"/>
      <c r="Y123" s="0"/>
      <c r="Z123" s="0"/>
      <c r="AA123" s="0"/>
      <c r="AB123" s="0"/>
      <c r="AC123" s="0"/>
      <c r="AD123" s="0"/>
      <c r="AE123" s="0"/>
      <c r="AF123" s="0"/>
      <c r="AG123" s="0"/>
      <c r="AH123" s="0"/>
    </row>
    <row r="124" s="27" customFormat="true" ht="80.25" hidden="false" customHeight="true" outlineLevel="0" collapsed="false">
      <c r="A124" s="21" t="s">
        <v>309</v>
      </c>
      <c r="B124" s="47" t="n">
        <v>210105</v>
      </c>
      <c r="C124" s="23" t="s">
        <v>44</v>
      </c>
      <c r="D124" s="24" t="s">
        <v>310</v>
      </c>
      <c r="E124" s="25" t="s">
        <v>54</v>
      </c>
      <c r="F124" s="23" t="n">
        <v>193.35</v>
      </c>
      <c r="G124" s="23" t="n">
        <v>24.36</v>
      </c>
      <c r="H124" s="23" t="n">
        <v>31.26</v>
      </c>
      <c r="I124" s="23" t="n">
        <f aca="false">TRUNC(H124*F124,2)</f>
        <v>6044.12</v>
      </c>
      <c r="J124" s="26" t="n">
        <f aca="false">I124/$I$154</f>
        <v>0.0208539882927577</v>
      </c>
      <c r="K124" s="0"/>
      <c r="L124" s="0"/>
      <c r="M124" s="0"/>
      <c r="N124" s="0"/>
      <c r="O124" s="0"/>
      <c r="P124" s="0"/>
      <c r="Q124" s="0"/>
      <c r="R124" s="0"/>
      <c r="S124" s="0"/>
      <c r="T124" s="0"/>
      <c r="U124" s="0"/>
      <c r="V124" s="0"/>
      <c r="W124" s="0"/>
      <c r="X124" s="0"/>
      <c r="Y124" s="0"/>
      <c r="Z124" s="0"/>
      <c r="AA124" s="0"/>
      <c r="AB124" s="0"/>
      <c r="AC124" s="0"/>
      <c r="AD124" s="0"/>
      <c r="AE124" s="0"/>
      <c r="AF124" s="0"/>
      <c r="AG124" s="0"/>
      <c r="AH124" s="0"/>
    </row>
    <row r="125" s="27" customFormat="true" ht="80.25" hidden="false" customHeight="true" outlineLevel="0" collapsed="false">
      <c r="A125" s="21" t="s">
        <v>311</v>
      </c>
      <c r="B125" s="47" t="n">
        <v>94990</v>
      </c>
      <c r="C125" s="23" t="s">
        <v>20</v>
      </c>
      <c r="D125" s="24" t="s">
        <v>312</v>
      </c>
      <c r="E125" s="25" t="s">
        <v>86</v>
      </c>
      <c r="F125" s="23" t="n">
        <f aca="false">+(7.5*1.4*0.14)+(1.7*1.1*0.07)+(1*1.1*0.2)+(0.4*1.1*0.1)</f>
        <v>1.8649</v>
      </c>
      <c r="G125" s="23" t="n">
        <v>898.74</v>
      </c>
      <c r="H125" s="23" t="n">
        <v>974.156085</v>
      </c>
      <c r="I125" s="23" t="n">
        <f aca="false">TRUNC(H125*F125,2)</f>
        <v>1816.7</v>
      </c>
      <c r="J125" s="26" t="n">
        <f aca="false">I125/$I$154</f>
        <v>0.0062681483047082</v>
      </c>
      <c r="K125" s="0"/>
      <c r="L125" s="0"/>
      <c r="M125" s="0"/>
      <c r="N125" s="0"/>
      <c r="O125" s="0"/>
      <c r="P125" s="0"/>
      <c r="Q125" s="0"/>
      <c r="R125" s="0"/>
      <c r="S125" s="0"/>
      <c r="T125" s="0"/>
      <c r="U125" s="0"/>
      <c r="V125" s="0"/>
      <c r="W125" s="0"/>
      <c r="X125" s="0"/>
      <c r="Y125" s="0"/>
      <c r="Z125" s="0"/>
      <c r="AA125" s="0"/>
      <c r="AB125" s="0"/>
      <c r="AC125" s="0"/>
      <c r="AD125" s="0"/>
      <c r="AE125" s="0"/>
      <c r="AF125" s="0"/>
      <c r="AG125" s="0"/>
      <c r="AH125" s="0"/>
    </row>
    <row r="126" s="27" customFormat="true" ht="43.5" hidden="false" customHeight="true" outlineLevel="0" collapsed="false">
      <c r="A126" s="38" t="n">
        <v>13</v>
      </c>
      <c r="B126" s="29"/>
      <c r="C126" s="29"/>
      <c r="D126" s="30" t="s">
        <v>313</v>
      </c>
      <c r="E126" s="31"/>
      <c r="F126" s="29"/>
      <c r="G126" s="29"/>
      <c r="H126" s="29"/>
      <c r="I126" s="29" t="n">
        <f aca="false">SUM(I127)</f>
        <v>16829.18</v>
      </c>
      <c r="J126" s="39" t="n">
        <f aca="false">SUM(J127)</f>
        <v>0.0580656113208725</v>
      </c>
      <c r="K126" s="0"/>
      <c r="L126" s="0"/>
      <c r="M126" s="0"/>
      <c r="N126" s="0"/>
      <c r="O126" s="0"/>
      <c r="P126" s="0"/>
      <c r="Q126" s="0"/>
      <c r="R126" s="0"/>
      <c r="S126" s="0"/>
      <c r="T126" s="0"/>
      <c r="U126" s="0"/>
      <c r="V126" s="0"/>
      <c r="W126" s="0"/>
      <c r="X126" s="0"/>
      <c r="Y126" s="0"/>
      <c r="Z126" s="0"/>
      <c r="AA126" s="0"/>
      <c r="AB126" s="0"/>
      <c r="AC126" s="0"/>
      <c r="AD126" s="0"/>
      <c r="AE126" s="0"/>
      <c r="AF126" s="0"/>
      <c r="AG126" s="0"/>
      <c r="AH126" s="0"/>
    </row>
    <row r="127" s="27" customFormat="true" ht="80.25" hidden="false" customHeight="true" outlineLevel="0" collapsed="false">
      <c r="A127" s="21" t="s">
        <v>314</v>
      </c>
      <c r="B127" s="23" t="s">
        <v>315</v>
      </c>
      <c r="C127" s="23" t="s">
        <v>20</v>
      </c>
      <c r="D127" s="24" t="s">
        <v>316</v>
      </c>
      <c r="E127" s="25" t="s">
        <v>54</v>
      </c>
      <c r="F127" s="23" t="n">
        <v>193.35</v>
      </c>
      <c r="G127" s="23" t="n">
        <v>67.82</v>
      </c>
      <c r="H127" s="23" t="n">
        <v>87.04</v>
      </c>
      <c r="I127" s="23" t="n">
        <v>16829.18</v>
      </c>
      <c r="J127" s="26" t="n">
        <f aca="false">I127/$I$154</f>
        <v>0.0580656113208725</v>
      </c>
      <c r="K127" s="0"/>
      <c r="L127" s="0"/>
      <c r="M127" s="0"/>
      <c r="N127" s="0"/>
      <c r="O127" s="0"/>
      <c r="P127" s="0"/>
      <c r="Q127" s="0"/>
      <c r="R127" s="0"/>
      <c r="S127" s="0"/>
      <c r="T127" s="0"/>
      <c r="U127" s="0"/>
      <c r="V127" s="0"/>
      <c r="W127" s="0"/>
      <c r="X127" s="0"/>
      <c r="Y127" s="0"/>
      <c r="Z127" s="0"/>
      <c r="AA127" s="0"/>
      <c r="AB127" s="0"/>
      <c r="AC127" s="0"/>
      <c r="AD127" s="0"/>
      <c r="AE127" s="0"/>
      <c r="AF127" s="0"/>
      <c r="AG127" s="0"/>
      <c r="AH127" s="0"/>
    </row>
    <row r="128" s="27" customFormat="true" ht="39" hidden="false" customHeight="true" outlineLevel="0" collapsed="false">
      <c r="A128" s="38" t="n">
        <v>14</v>
      </c>
      <c r="B128" s="29"/>
      <c r="C128" s="29"/>
      <c r="D128" s="30" t="s">
        <v>317</v>
      </c>
      <c r="E128" s="31"/>
      <c r="F128" s="29"/>
      <c r="G128" s="29"/>
      <c r="H128" s="29"/>
      <c r="I128" s="29" t="n">
        <f aca="false">SUM(I129:I134)</f>
        <v>9776.55</v>
      </c>
      <c r="J128" s="39" t="n">
        <f aca="false">SUM(J129:J134)</f>
        <v>0.0337319674731078</v>
      </c>
      <c r="K128" s="0"/>
      <c r="L128" s="0"/>
      <c r="M128" s="0"/>
      <c r="N128" s="0"/>
      <c r="O128" s="0"/>
      <c r="P128" s="0"/>
      <c r="Q128" s="0"/>
      <c r="R128" s="0"/>
      <c r="S128" s="0"/>
      <c r="T128" s="0"/>
      <c r="U128" s="0"/>
      <c r="V128" s="0"/>
      <c r="W128" s="0"/>
      <c r="X128" s="0"/>
      <c r="Y128" s="0"/>
      <c r="Z128" s="0"/>
      <c r="AA128" s="0"/>
      <c r="AB128" s="0"/>
      <c r="AC128" s="0"/>
      <c r="AD128" s="0"/>
      <c r="AE128" s="0"/>
      <c r="AF128" s="0"/>
      <c r="AG128" s="0"/>
      <c r="AH128" s="0"/>
    </row>
    <row r="129" s="27" customFormat="true" ht="80.25" hidden="false" customHeight="true" outlineLevel="0" collapsed="false">
      <c r="A129" s="21" t="s">
        <v>318</v>
      </c>
      <c r="B129" s="23" t="n">
        <v>88485</v>
      </c>
      <c r="C129" s="23" t="s">
        <v>20</v>
      </c>
      <c r="D129" s="24" t="s">
        <v>319</v>
      </c>
      <c r="E129" s="25" t="s">
        <v>54</v>
      </c>
      <c r="F129" s="23" t="n">
        <f aca="false">1.25+(((4.95+2.7)*2.85)*2)+((3.68*2.82*2)+(3.06*2.82))</f>
        <v>74.2394</v>
      </c>
      <c r="G129" s="23" t="n">
        <v>1.74</v>
      </c>
      <c r="H129" s="23" t="n">
        <v>2.23</v>
      </c>
      <c r="I129" s="23" t="n">
        <f aca="false">TRUNC(H129*F129,2)</f>
        <v>165.55</v>
      </c>
      <c r="J129" s="26" t="n">
        <f aca="false">I129/$I$154</f>
        <v>0.000571196098334586</v>
      </c>
      <c r="K129" s="0"/>
      <c r="L129" s="0"/>
      <c r="M129" s="0"/>
      <c r="N129" s="0"/>
      <c r="O129" s="0"/>
      <c r="P129" s="0"/>
      <c r="Q129" s="0"/>
      <c r="R129" s="0"/>
      <c r="S129" s="0"/>
      <c r="T129" s="0"/>
      <c r="U129" s="0"/>
      <c r="V129" s="0"/>
      <c r="W129" s="0"/>
      <c r="X129" s="0"/>
      <c r="Y129" s="0"/>
      <c r="Z129" s="0"/>
      <c r="AA129" s="0"/>
      <c r="AB129" s="0"/>
      <c r="AC129" s="0"/>
      <c r="AD129" s="0"/>
      <c r="AE129" s="0"/>
      <c r="AF129" s="0"/>
      <c r="AG129" s="0"/>
      <c r="AH129" s="0"/>
    </row>
    <row r="130" s="27" customFormat="true" ht="80.25" hidden="false" customHeight="true" outlineLevel="0" collapsed="false">
      <c r="A130" s="21" t="s">
        <v>320</v>
      </c>
      <c r="B130" s="23" t="n">
        <v>88497</v>
      </c>
      <c r="C130" s="23" t="s">
        <v>20</v>
      </c>
      <c r="D130" s="24" t="s">
        <v>321</v>
      </c>
      <c r="E130" s="25" t="s">
        <v>54</v>
      </c>
      <c r="F130" s="23" t="n">
        <f aca="false">1.25+(((4.95+2.7)*2.85)*2)+((3.68*2.82*2)+(3.06*2.82))</f>
        <v>74.2394</v>
      </c>
      <c r="G130" s="23" t="n">
        <v>11.49</v>
      </c>
      <c r="H130" s="23" t="n">
        <v>14.74</v>
      </c>
      <c r="I130" s="23" t="n">
        <f aca="false">TRUNC(H130*F130,2)</f>
        <v>1094.28</v>
      </c>
      <c r="J130" s="26" t="n">
        <f aca="false">I130/$I$154</f>
        <v>0.00377558723337705</v>
      </c>
      <c r="K130" s="0"/>
      <c r="L130" s="0"/>
      <c r="M130" s="0"/>
      <c r="N130" s="0"/>
      <c r="O130" s="0"/>
      <c r="P130" s="0"/>
      <c r="Q130" s="0"/>
      <c r="R130" s="0"/>
      <c r="S130" s="0"/>
      <c r="T130" s="0"/>
      <c r="U130" s="0"/>
      <c r="V130" s="0"/>
      <c r="W130" s="0"/>
      <c r="X130" s="0"/>
      <c r="Y130" s="0"/>
      <c r="Z130" s="0"/>
      <c r="AA130" s="0"/>
      <c r="AB130" s="0"/>
      <c r="AC130" s="0"/>
      <c r="AD130" s="0"/>
      <c r="AE130" s="0"/>
      <c r="AF130" s="0"/>
      <c r="AG130" s="0"/>
      <c r="AH130" s="0"/>
    </row>
    <row r="131" s="27" customFormat="true" ht="80.25" hidden="false" customHeight="true" outlineLevel="0" collapsed="false">
      <c r="A131" s="21" t="s">
        <v>322</v>
      </c>
      <c r="B131" s="23" t="n">
        <v>88489</v>
      </c>
      <c r="C131" s="23" t="s">
        <v>20</v>
      </c>
      <c r="D131" s="24" t="s">
        <v>323</v>
      </c>
      <c r="E131" s="25" t="s">
        <v>54</v>
      </c>
      <c r="F131" s="23" t="n">
        <f aca="false">142.76+((3.06+3.68+3.06)*2.82)+(3.68*(2.82-2.1))</f>
        <v>173.0456</v>
      </c>
      <c r="G131" s="23" t="n">
        <v>7.88</v>
      </c>
      <c r="H131" s="23" t="n">
        <v>10.11</v>
      </c>
      <c r="I131" s="23" t="n">
        <f aca="false">TRUNC(H131*F131,2)</f>
        <v>1749.49</v>
      </c>
      <c r="J131" s="26" t="n">
        <f aca="false">I131/$I$154</f>
        <v>0.00603625407475309</v>
      </c>
      <c r="K131" s="0"/>
      <c r="L131" s="0"/>
      <c r="M131" s="0"/>
      <c r="N131" s="0"/>
      <c r="O131" s="0"/>
      <c r="P131" s="0"/>
      <c r="Q131" s="0"/>
      <c r="R131" s="0"/>
      <c r="S131" s="0"/>
      <c r="T131" s="0"/>
      <c r="U131" s="0"/>
      <c r="V131" s="0"/>
      <c r="W131" s="0"/>
      <c r="X131" s="0"/>
      <c r="Y131" s="0"/>
      <c r="Z131" s="0"/>
      <c r="AA131" s="0"/>
      <c r="AB131" s="0"/>
      <c r="AC131" s="0"/>
      <c r="AD131" s="0"/>
      <c r="AE131" s="0"/>
      <c r="AF131" s="0"/>
      <c r="AG131" s="0"/>
      <c r="AH131" s="0"/>
    </row>
    <row r="132" s="27" customFormat="true" ht="80.25" hidden="false" customHeight="true" outlineLevel="0" collapsed="false">
      <c r="A132" s="21" t="s">
        <v>324</v>
      </c>
      <c r="B132" s="23" t="s">
        <v>325</v>
      </c>
      <c r="C132" s="23" t="s">
        <v>20</v>
      </c>
      <c r="D132" s="24" t="s">
        <v>326</v>
      </c>
      <c r="E132" s="25" t="s">
        <v>54</v>
      </c>
      <c r="F132" s="23" t="n">
        <v>193.35</v>
      </c>
      <c r="G132" s="23" t="n">
        <v>2.07</v>
      </c>
      <c r="H132" s="23" t="n">
        <v>2.65</v>
      </c>
      <c r="I132" s="23" t="n">
        <v>512.37</v>
      </c>
      <c r="J132" s="26" t="n">
        <f aca="false">I132/$I$154</f>
        <v>0.00176782690971726</v>
      </c>
      <c r="K132" s="0"/>
      <c r="L132" s="0"/>
      <c r="M132" s="0"/>
      <c r="N132" s="0"/>
      <c r="O132" s="0"/>
      <c r="P132" s="0"/>
      <c r="Q132" s="0"/>
      <c r="R132" s="0"/>
      <c r="S132" s="0"/>
      <c r="T132" s="0"/>
      <c r="U132" s="0"/>
      <c r="V132" s="0"/>
      <c r="W132" s="0"/>
      <c r="X132" s="0"/>
      <c r="Y132" s="0"/>
      <c r="Z132" s="0"/>
      <c r="AA132" s="0"/>
      <c r="AB132" s="0"/>
      <c r="AC132" s="0"/>
      <c r="AD132" s="0"/>
      <c r="AE132" s="0"/>
      <c r="AF132" s="0"/>
      <c r="AG132" s="0"/>
      <c r="AH132" s="0"/>
    </row>
    <row r="133" s="27" customFormat="true" ht="80.25" hidden="false" customHeight="true" outlineLevel="0" collapsed="false">
      <c r="A133" s="21" t="s">
        <v>327</v>
      </c>
      <c r="B133" s="23" t="s">
        <v>328</v>
      </c>
      <c r="C133" s="23" t="s">
        <v>20</v>
      </c>
      <c r="D133" s="24" t="s">
        <v>329</v>
      </c>
      <c r="E133" s="25" t="s">
        <v>54</v>
      </c>
      <c r="F133" s="23" t="n">
        <v>193.35</v>
      </c>
      <c r="G133" s="23" t="n">
        <v>15.78</v>
      </c>
      <c r="H133" s="23" t="n">
        <v>20.25</v>
      </c>
      <c r="I133" s="23" t="n">
        <v>3915.33</v>
      </c>
      <c r="J133" s="26" t="n">
        <f aca="false">I133/$I$154</f>
        <v>0.0135090378718958</v>
      </c>
      <c r="K133" s="0"/>
      <c r="L133" s="0"/>
      <c r="M133" s="0"/>
      <c r="N133" s="0"/>
      <c r="O133" s="0"/>
      <c r="P133" s="0"/>
      <c r="Q133" s="0"/>
      <c r="R133" s="0"/>
      <c r="S133" s="0"/>
      <c r="T133" s="0"/>
      <c r="U133" s="0"/>
      <c r="V133" s="0"/>
      <c r="W133" s="0"/>
      <c r="X133" s="0"/>
      <c r="Y133" s="0"/>
      <c r="Z133" s="0"/>
      <c r="AA133" s="0"/>
      <c r="AB133" s="0"/>
      <c r="AC133" s="0"/>
      <c r="AD133" s="0"/>
      <c r="AE133" s="0"/>
      <c r="AF133" s="0"/>
      <c r="AG133" s="0"/>
      <c r="AH133" s="0"/>
    </row>
    <row r="134" s="27" customFormat="true" ht="80.25" hidden="false" customHeight="true" outlineLevel="0" collapsed="false">
      <c r="A134" s="21" t="s">
        <v>330</v>
      </c>
      <c r="B134" s="23" t="s">
        <v>331</v>
      </c>
      <c r="C134" s="23" t="s">
        <v>20</v>
      </c>
      <c r="D134" s="24" t="s">
        <v>332</v>
      </c>
      <c r="E134" s="25" t="s">
        <v>54</v>
      </c>
      <c r="F134" s="23" t="n">
        <v>193.35</v>
      </c>
      <c r="G134" s="23" t="n">
        <v>9.43</v>
      </c>
      <c r="H134" s="23" t="n">
        <v>12.1</v>
      </c>
      <c r="I134" s="23" t="n">
        <v>2339.53</v>
      </c>
      <c r="J134" s="26" t="n">
        <f aca="false">I134/$I$154</f>
        <v>0.00807206528502998</v>
      </c>
      <c r="K134" s="0"/>
      <c r="L134" s="0"/>
      <c r="M134" s="0"/>
      <c r="N134" s="0"/>
      <c r="O134" s="0"/>
      <c r="P134" s="0"/>
      <c r="Q134" s="0"/>
      <c r="R134" s="0"/>
      <c r="S134" s="0"/>
      <c r="T134" s="0"/>
      <c r="U134" s="0"/>
      <c r="V134" s="0"/>
      <c r="W134" s="0"/>
      <c r="X134" s="0"/>
      <c r="Y134" s="0"/>
      <c r="Z134" s="0"/>
      <c r="AA134" s="0"/>
      <c r="AB134" s="0"/>
      <c r="AC134" s="0"/>
      <c r="AD134" s="0"/>
      <c r="AE134" s="0"/>
      <c r="AF134" s="0"/>
      <c r="AG134" s="0"/>
      <c r="AH134" s="0"/>
    </row>
    <row r="135" s="27" customFormat="true" ht="45" hidden="false" customHeight="true" outlineLevel="0" collapsed="false">
      <c r="A135" s="38" t="n">
        <v>15</v>
      </c>
      <c r="B135" s="29"/>
      <c r="C135" s="29"/>
      <c r="D135" s="30" t="s">
        <v>333</v>
      </c>
      <c r="E135" s="31"/>
      <c r="F135" s="29"/>
      <c r="G135" s="29"/>
      <c r="H135" s="29"/>
      <c r="I135" s="29" t="n">
        <f aca="false">SUM(I136:I138)</f>
        <v>56261.6</v>
      </c>
      <c r="J135" s="39" t="n">
        <f aca="false">SUM(J136:J138)</f>
        <v>0.194119035977415</v>
      </c>
      <c r="K135" s="0"/>
      <c r="L135" s="0"/>
      <c r="M135" s="0"/>
      <c r="N135" s="0"/>
      <c r="O135" s="0"/>
      <c r="P135" s="0"/>
      <c r="Q135" s="0"/>
      <c r="R135" s="0"/>
      <c r="S135" s="0"/>
      <c r="T135" s="0"/>
      <c r="U135" s="0"/>
      <c r="V135" s="0"/>
      <c r="W135" s="0"/>
      <c r="X135" s="0"/>
      <c r="Y135" s="0"/>
      <c r="Z135" s="0"/>
      <c r="AA135" s="0"/>
      <c r="AB135" s="0"/>
      <c r="AC135" s="0"/>
      <c r="AD135" s="0"/>
      <c r="AE135" s="0"/>
      <c r="AF135" s="0"/>
      <c r="AG135" s="0"/>
      <c r="AH135" s="0"/>
    </row>
    <row r="136" s="27" customFormat="true" ht="120" hidden="false" customHeight="true" outlineLevel="0" collapsed="false">
      <c r="A136" s="21" t="s">
        <v>334</v>
      </c>
      <c r="B136" s="23" t="s">
        <v>335</v>
      </c>
      <c r="C136" s="23" t="s">
        <v>20</v>
      </c>
      <c r="D136" s="24" t="s">
        <v>336</v>
      </c>
      <c r="E136" s="25" t="s">
        <v>50</v>
      </c>
      <c r="F136" s="23" t="n">
        <v>4</v>
      </c>
      <c r="G136" s="23" t="n">
        <v>11092.11</v>
      </c>
      <c r="H136" s="23" t="n">
        <v>12902.34</v>
      </c>
      <c r="I136" s="23" t="n">
        <v>51609.36</v>
      </c>
      <c r="J136" s="26" t="n">
        <f aca="false">I136/$I$154</f>
        <v>0.17806744228055</v>
      </c>
      <c r="K136" s="0"/>
      <c r="L136" s="0"/>
      <c r="M136" s="0"/>
      <c r="N136" s="0"/>
      <c r="O136" s="0"/>
      <c r="P136" s="0"/>
      <c r="Q136" s="0"/>
      <c r="R136" s="0"/>
      <c r="S136" s="0"/>
      <c r="T136" s="0"/>
      <c r="U136" s="0"/>
      <c r="V136" s="0"/>
      <c r="W136" s="0"/>
      <c r="X136" s="0"/>
      <c r="Y136" s="0"/>
      <c r="Z136" s="0"/>
      <c r="AA136" s="0"/>
      <c r="AB136" s="0"/>
      <c r="AC136" s="0"/>
      <c r="AD136" s="0"/>
      <c r="AE136" s="0"/>
      <c r="AF136" s="0"/>
      <c r="AG136" s="0"/>
      <c r="AH136" s="0"/>
    </row>
    <row r="137" s="27" customFormat="true" ht="114" hidden="false" customHeight="true" outlineLevel="0" collapsed="false">
      <c r="A137" s="21" t="s">
        <v>337</v>
      </c>
      <c r="B137" s="23" t="n">
        <v>97328</v>
      </c>
      <c r="C137" s="23" t="s">
        <v>20</v>
      </c>
      <c r="D137" s="24" t="s">
        <v>338</v>
      </c>
      <c r="E137" s="25" t="s">
        <v>71</v>
      </c>
      <c r="F137" s="23" t="n">
        <v>70</v>
      </c>
      <c r="G137" s="23" t="n">
        <v>52.66</v>
      </c>
      <c r="H137" s="46" t="n">
        <v>57.08</v>
      </c>
      <c r="I137" s="23" t="n">
        <f aca="false">H137*F137</f>
        <v>3995.6</v>
      </c>
      <c r="J137" s="26" t="n">
        <f aca="false">I137/$I$154</f>
        <v>0.0137859929357032</v>
      </c>
      <c r="K137" s="0"/>
      <c r="L137" s="0"/>
      <c r="M137" s="0"/>
      <c r="N137" s="0"/>
      <c r="O137" s="0"/>
      <c r="P137" s="0"/>
      <c r="Q137" s="0"/>
      <c r="R137" s="0"/>
      <c r="S137" s="0"/>
      <c r="T137" s="0"/>
      <c r="U137" s="0"/>
      <c r="V137" s="0"/>
      <c r="W137" s="0"/>
      <c r="X137" s="0"/>
      <c r="Y137" s="0"/>
      <c r="Z137" s="0"/>
      <c r="AA137" s="0"/>
      <c r="AB137" s="0"/>
      <c r="AC137" s="0"/>
      <c r="AD137" s="0"/>
      <c r="AE137" s="0"/>
      <c r="AF137" s="0"/>
      <c r="AG137" s="0"/>
      <c r="AH137" s="0"/>
    </row>
    <row r="138" s="27" customFormat="true" ht="100.5" hidden="false" customHeight="true" outlineLevel="0" collapsed="false">
      <c r="A138" s="21" t="s">
        <v>339</v>
      </c>
      <c r="B138" s="23" t="n">
        <v>89865</v>
      </c>
      <c r="C138" s="23" t="s">
        <v>20</v>
      </c>
      <c r="D138" s="24" t="s">
        <v>340</v>
      </c>
      <c r="E138" s="25" t="s">
        <v>71</v>
      </c>
      <c r="F138" s="23" t="n">
        <v>48</v>
      </c>
      <c r="G138" s="23" t="n">
        <v>12.62</v>
      </c>
      <c r="H138" s="46" t="n">
        <v>13.68</v>
      </c>
      <c r="I138" s="23" t="n">
        <f aca="false">H138*F138</f>
        <v>656.64</v>
      </c>
      <c r="J138" s="26" t="n">
        <f aca="false">I138/$I$154</f>
        <v>0.00226560076116232</v>
      </c>
      <c r="K138" s="0"/>
      <c r="L138" s="0"/>
      <c r="M138" s="0"/>
      <c r="N138" s="0"/>
      <c r="O138" s="0"/>
      <c r="P138" s="0"/>
      <c r="Q138" s="0"/>
      <c r="R138" s="0"/>
      <c r="S138" s="0"/>
      <c r="T138" s="0"/>
      <c r="U138" s="0"/>
      <c r="V138" s="0"/>
      <c r="W138" s="0"/>
      <c r="X138" s="0"/>
      <c r="Y138" s="0"/>
      <c r="Z138" s="0"/>
      <c r="AA138" s="0"/>
      <c r="AB138" s="0"/>
      <c r="AC138" s="0"/>
      <c r="AD138" s="0"/>
      <c r="AE138" s="0"/>
      <c r="AF138" s="0"/>
      <c r="AG138" s="0"/>
      <c r="AH138" s="0"/>
    </row>
    <row r="139" s="27" customFormat="true" ht="46.5" hidden="false" customHeight="true" outlineLevel="0" collapsed="false">
      <c r="A139" s="38" t="n">
        <v>16</v>
      </c>
      <c r="B139" s="29"/>
      <c r="C139" s="29"/>
      <c r="D139" s="30" t="s">
        <v>341</v>
      </c>
      <c r="E139" s="31"/>
      <c r="F139" s="29"/>
      <c r="G139" s="29"/>
      <c r="H139" s="29"/>
      <c r="I139" s="29" t="n">
        <f aca="false">SUM(I140:I142)</f>
        <v>3827.69</v>
      </c>
      <c r="J139" s="39" t="n">
        <f aca="false">SUM(J140:J142)</f>
        <v>0.0132066541445745</v>
      </c>
      <c r="K139" s="0"/>
      <c r="L139" s="0"/>
      <c r="M139" s="0"/>
      <c r="N139" s="0"/>
      <c r="O139" s="0"/>
      <c r="P139" s="0"/>
      <c r="Q139" s="0"/>
      <c r="R139" s="0"/>
      <c r="S139" s="0"/>
      <c r="T139" s="0"/>
      <c r="U139" s="0"/>
      <c r="V139" s="0"/>
      <c r="W139" s="0"/>
      <c r="X139" s="0"/>
      <c r="Y139" s="0"/>
      <c r="Z139" s="0"/>
      <c r="AA139" s="0"/>
      <c r="AB139" s="0"/>
      <c r="AC139" s="0"/>
      <c r="AD139" s="0"/>
      <c r="AE139" s="0"/>
      <c r="AF139" s="0"/>
      <c r="AG139" s="0"/>
      <c r="AH139" s="0"/>
    </row>
    <row r="140" s="27" customFormat="true" ht="46.5" hidden="false" customHeight="true" outlineLevel="0" collapsed="false">
      <c r="A140" s="21" t="s">
        <v>342</v>
      </c>
      <c r="B140" s="23" t="s">
        <v>343</v>
      </c>
      <c r="C140" s="23" t="s">
        <v>44</v>
      </c>
      <c r="D140" s="24" t="s">
        <v>344</v>
      </c>
      <c r="E140" s="25" t="s">
        <v>86</v>
      </c>
      <c r="F140" s="23" t="n">
        <v>10.49</v>
      </c>
      <c r="G140" s="23" t="n">
        <v>180.16</v>
      </c>
      <c r="H140" s="23" t="n">
        <v>231.23</v>
      </c>
      <c r="I140" s="23" t="n">
        <v>2425.6</v>
      </c>
      <c r="J140" s="26" t="n">
        <f aca="false">I140/$I$154</f>
        <v>0.00836903205146706</v>
      </c>
      <c r="K140" s="0"/>
      <c r="L140" s="0"/>
      <c r="M140" s="0"/>
      <c r="N140" s="0"/>
      <c r="O140" s="0"/>
      <c r="P140" s="0"/>
      <c r="Q140" s="0"/>
      <c r="R140" s="0"/>
      <c r="S140" s="0"/>
      <c r="T140" s="0"/>
      <c r="U140" s="0"/>
      <c r="V140" s="0"/>
      <c r="W140" s="0"/>
      <c r="X140" s="0"/>
      <c r="Y140" s="0"/>
      <c r="Z140" s="0"/>
      <c r="AA140" s="0"/>
      <c r="AB140" s="0"/>
      <c r="AC140" s="0"/>
      <c r="AD140" s="0"/>
      <c r="AE140" s="0"/>
      <c r="AF140" s="0"/>
      <c r="AG140" s="0"/>
      <c r="AH140" s="0"/>
    </row>
    <row r="141" s="27" customFormat="true" ht="80.25" hidden="false" customHeight="true" outlineLevel="0" collapsed="false">
      <c r="A141" s="21" t="s">
        <v>345</v>
      </c>
      <c r="B141" s="23" t="s">
        <v>346</v>
      </c>
      <c r="C141" s="23" t="s">
        <v>44</v>
      </c>
      <c r="D141" s="24" t="s">
        <v>347</v>
      </c>
      <c r="E141" s="25" t="s">
        <v>86</v>
      </c>
      <c r="F141" s="23" t="n">
        <f aca="false">10.49+6</f>
        <v>16.49</v>
      </c>
      <c r="G141" s="23" t="n">
        <v>61.5</v>
      </c>
      <c r="H141" s="23" t="n">
        <v>78.93</v>
      </c>
      <c r="I141" s="23" t="n">
        <f aca="false">TRUNC(H141*F141,2)</f>
        <v>1301.55</v>
      </c>
      <c r="J141" s="26" t="n">
        <f aca="false">I141/$I$154</f>
        <v>0.00449072957890293</v>
      </c>
      <c r="K141" s="0"/>
      <c r="L141" s="0"/>
      <c r="M141" s="0"/>
      <c r="N141" s="0"/>
      <c r="O141" s="0"/>
      <c r="P141" s="0"/>
      <c r="Q141" s="0"/>
      <c r="R141" s="0"/>
      <c r="S141" s="0"/>
      <c r="T141" s="0"/>
      <c r="U141" s="0"/>
      <c r="V141" s="0"/>
      <c r="W141" s="0"/>
      <c r="X141" s="0"/>
      <c r="Y141" s="0"/>
      <c r="Z141" s="0"/>
      <c r="AA141" s="0"/>
      <c r="AB141" s="0"/>
      <c r="AC141" s="0"/>
      <c r="AD141" s="0"/>
      <c r="AE141" s="0"/>
      <c r="AF141" s="0"/>
      <c r="AG141" s="0"/>
      <c r="AH141" s="0"/>
    </row>
    <row r="142" s="27" customFormat="true" ht="80.25" hidden="false" customHeight="true" outlineLevel="0" collapsed="false">
      <c r="A142" s="21" t="s">
        <v>348</v>
      </c>
      <c r="B142" s="23" t="s">
        <v>349</v>
      </c>
      <c r="C142" s="23" t="s">
        <v>20</v>
      </c>
      <c r="D142" s="24" t="s">
        <v>350</v>
      </c>
      <c r="E142" s="25" t="s">
        <v>54</v>
      </c>
      <c r="F142" s="23" t="n">
        <v>193.35</v>
      </c>
      <c r="G142" s="23" t="n">
        <v>0.41</v>
      </c>
      <c r="H142" s="23" t="n">
        <v>0.52</v>
      </c>
      <c r="I142" s="23" t="n">
        <v>100.54</v>
      </c>
      <c r="J142" s="26" t="n">
        <f aca="false">I142/$I$154</f>
        <v>0.000346892514204526</v>
      </c>
      <c r="K142" s="0"/>
      <c r="L142" s="0"/>
      <c r="M142" s="0"/>
      <c r="N142" s="0"/>
      <c r="O142" s="0"/>
      <c r="P142" s="0"/>
      <c r="Q142" s="0"/>
      <c r="R142" s="0"/>
      <c r="S142" s="0"/>
      <c r="T142" s="0"/>
      <c r="U142" s="0"/>
      <c r="V142" s="0"/>
      <c r="W142" s="0"/>
      <c r="X142" s="0"/>
      <c r="Y142" s="0"/>
      <c r="Z142" s="0"/>
      <c r="AA142" s="0"/>
      <c r="AB142" s="0"/>
      <c r="AC142" s="0"/>
      <c r="AD142" s="0"/>
      <c r="AE142" s="0"/>
      <c r="AF142" s="0"/>
      <c r="AG142" s="0"/>
      <c r="AH142" s="0"/>
    </row>
    <row r="143" s="27" customFormat="true" ht="46.5" hidden="false" customHeight="true" outlineLevel="0" collapsed="false">
      <c r="A143" s="38" t="n">
        <v>17</v>
      </c>
      <c r="B143" s="29"/>
      <c r="C143" s="29"/>
      <c r="D143" s="30" t="s">
        <v>351</v>
      </c>
      <c r="E143" s="31"/>
      <c r="F143" s="29"/>
      <c r="G143" s="29"/>
      <c r="H143" s="29"/>
      <c r="I143" s="29" t="n">
        <f aca="false">SUM(I144:I145)</f>
        <v>6357.8339577</v>
      </c>
      <c r="J143" s="39" t="n">
        <f aca="false">SUM(J144:J145)</f>
        <v>0.0219363935397003</v>
      </c>
      <c r="K143" s="0"/>
      <c r="L143" s="0"/>
      <c r="M143" s="0"/>
      <c r="N143" s="0"/>
      <c r="O143" s="0"/>
      <c r="P143" s="0"/>
      <c r="Q143" s="0"/>
      <c r="R143" s="0"/>
      <c r="S143" s="0"/>
      <c r="T143" s="0"/>
      <c r="U143" s="0"/>
      <c r="V143" s="0"/>
      <c r="W143" s="0"/>
      <c r="X143" s="0"/>
      <c r="Y143" s="0"/>
      <c r="Z143" s="0"/>
      <c r="AA143" s="0"/>
      <c r="AB143" s="0"/>
      <c r="AC143" s="0"/>
      <c r="AD143" s="0"/>
      <c r="AE143" s="0"/>
      <c r="AF143" s="0"/>
      <c r="AG143" s="0"/>
      <c r="AH143" s="0"/>
    </row>
    <row r="144" s="27" customFormat="true" ht="80.25" hidden="false" customHeight="true" outlineLevel="0" collapsed="false">
      <c r="A144" s="21" t="s">
        <v>352</v>
      </c>
      <c r="B144" s="23" t="n">
        <v>102180</v>
      </c>
      <c r="C144" s="23" t="s">
        <v>20</v>
      </c>
      <c r="D144" s="24" t="s">
        <v>353</v>
      </c>
      <c r="E144" s="25" t="s">
        <v>54</v>
      </c>
      <c r="F144" s="23" t="n">
        <v>4.8</v>
      </c>
      <c r="G144" s="23" t="n">
        <v>578.33</v>
      </c>
      <c r="H144" s="46" t="n">
        <f aca="false">742.29*0.8445</f>
        <v>626.863905</v>
      </c>
      <c r="I144" s="23" t="n">
        <f aca="false">H144*F144</f>
        <v>3008.946744</v>
      </c>
      <c r="J144" s="26" t="n">
        <f aca="false">I144/$I$154</f>
        <v>0.0103817495636929</v>
      </c>
      <c r="K144" s="0"/>
      <c r="L144" s="0"/>
      <c r="M144" s="0"/>
      <c r="N144" s="0"/>
      <c r="O144" s="0"/>
      <c r="P144" s="0"/>
      <c r="Q144" s="0"/>
      <c r="R144" s="0"/>
      <c r="S144" s="0"/>
      <c r="T144" s="0"/>
      <c r="U144" s="0"/>
      <c r="V144" s="0"/>
      <c r="W144" s="0"/>
      <c r="X144" s="0"/>
      <c r="Y144" s="0"/>
      <c r="Z144" s="0"/>
      <c r="AA144" s="0"/>
      <c r="AB144" s="0"/>
      <c r="AC144" s="0"/>
      <c r="AD144" s="0"/>
      <c r="AE144" s="0"/>
      <c r="AF144" s="0"/>
      <c r="AG144" s="0"/>
      <c r="AH144" s="0"/>
    </row>
    <row r="145" s="27" customFormat="true" ht="90" hidden="false" customHeight="true" outlineLevel="0" collapsed="false">
      <c r="A145" s="21" t="s">
        <v>354</v>
      </c>
      <c r="B145" s="23" t="n">
        <v>102149</v>
      </c>
      <c r="C145" s="23" t="s">
        <v>20</v>
      </c>
      <c r="D145" s="24" t="s">
        <v>355</v>
      </c>
      <c r="E145" s="25" t="s">
        <v>54</v>
      </c>
      <c r="F145" s="23" t="n">
        <v>4.83</v>
      </c>
      <c r="G145" s="23" t="n">
        <v>639.67</v>
      </c>
      <c r="H145" s="46" t="n">
        <f aca="false">821.02*0.8445</f>
        <v>693.35139</v>
      </c>
      <c r="I145" s="23" t="n">
        <f aca="false">H145*F145</f>
        <v>3348.8872137</v>
      </c>
      <c r="J145" s="26" t="n">
        <f aca="false">I145/$I$154</f>
        <v>0.0115546439760074</v>
      </c>
      <c r="K145" s="0"/>
      <c r="L145" s="0"/>
      <c r="M145" s="0"/>
      <c r="N145" s="0"/>
      <c r="O145" s="0"/>
      <c r="P145" s="0"/>
      <c r="Q145" s="0"/>
      <c r="R145" s="0"/>
      <c r="S145" s="0"/>
      <c r="T145" s="0"/>
      <c r="U145" s="0"/>
      <c r="V145" s="0"/>
      <c r="W145" s="0"/>
      <c r="X145" s="0"/>
      <c r="Y145" s="0"/>
      <c r="Z145" s="0"/>
      <c r="AA145" s="0"/>
      <c r="AB145" s="0"/>
      <c r="AC145" s="0"/>
      <c r="AD145" s="0"/>
      <c r="AE145" s="0"/>
      <c r="AF145" s="0"/>
      <c r="AG145" s="0"/>
      <c r="AH145" s="0"/>
    </row>
    <row r="146" s="27" customFormat="true" ht="39" hidden="false" customHeight="true" outlineLevel="0" collapsed="false">
      <c r="A146" s="38" t="n">
        <v>18</v>
      </c>
      <c r="B146" s="29"/>
      <c r="C146" s="29"/>
      <c r="D146" s="30" t="s">
        <v>356</v>
      </c>
      <c r="E146" s="31"/>
      <c r="F146" s="29"/>
      <c r="G146" s="29"/>
      <c r="H146" s="29"/>
      <c r="I146" s="29" t="n">
        <f aca="false">SUM(I147)</f>
        <v>352.987488</v>
      </c>
      <c r="J146" s="39" t="n">
        <f aca="false">SUM(J147)</f>
        <v>0.00121791045549095</v>
      </c>
      <c r="K146" s="0"/>
      <c r="L146" s="0"/>
      <c r="M146" s="0"/>
      <c r="N146" s="0"/>
      <c r="O146" s="0"/>
      <c r="P146" s="0"/>
      <c r="Q146" s="0"/>
      <c r="R146" s="0"/>
      <c r="S146" s="0"/>
      <c r="T146" s="0"/>
      <c r="U146" s="0"/>
      <c r="V146" s="0"/>
      <c r="W146" s="0"/>
      <c r="X146" s="0"/>
      <c r="Y146" s="0"/>
      <c r="Z146" s="0"/>
      <c r="AA146" s="0"/>
      <c r="AB146" s="0"/>
      <c r="AC146" s="0"/>
      <c r="AD146" s="0"/>
      <c r="AE146" s="0"/>
      <c r="AF146" s="0"/>
      <c r="AG146" s="0"/>
      <c r="AH146" s="0"/>
    </row>
    <row r="147" s="27" customFormat="true" ht="69" hidden="false" customHeight="true" outlineLevel="0" collapsed="false">
      <c r="A147" s="21" t="s">
        <v>357</v>
      </c>
      <c r="B147" s="23" t="n">
        <v>99855</v>
      </c>
      <c r="C147" s="23" t="s">
        <v>20</v>
      </c>
      <c r="D147" s="24" t="s">
        <v>358</v>
      </c>
      <c r="E147" s="25" t="s">
        <v>103</v>
      </c>
      <c r="F147" s="23" t="n">
        <v>2.8</v>
      </c>
      <c r="G147" s="23" t="n">
        <v>116.31</v>
      </c>
      <c r="H147" s="46" t="n">
        <f aca="false">149.28*0.8445</f>
        <v>126.06696</v>
      </c>
      <c r="I147" s="23" t="n">
        <f aca="false">H147*F147</f>
        <v>352.987488</v>
      </c>
      <c r="J147" s="26" t="n">
        <f aca="false">I147/$I$154</f>
        <v>0.00121791045549095</v>
      </c>
      <c r="K147" s="0"/>
      <c r="L147" s="0"/>
      <c r="M147" s="0"/>
      <c r="N147" s="0"/>
      <c r="O147" s="0"/>
      <c r="P147" s="0"/>
      <c r="Q147" s="0"/>
      <c r="R147" s="0"/>
      <c r="S147" s="0"/>
      <c r="T147" s="0"/>
      <c r="U147" s="0"/>
      <c r="V147" s="0"/>
      <c r="W147" s="0"/>
      <c r="X147" s="0"/>
      <c r="Y147" s="0"/>
      <c r="Z147" s="0"/>
      <c r="AA147" s="0"/>
      <c r="AB147" s="0"/>
      <c r="AC147" s="0"/>
      <c r="AD147" s="0"/>
      <c r="AE147" s="0"/>
      <c r="AF147" s="0"/>
      <c r="AG147" s="0"/>
      <c r="AH147" s="0"/>
    </row>
    <row r="148" s="27" customFormat="true" ht="36.75" hidden="false" customHeight="true" outlineLevel="0" collapsed="false">
      <c r="A148" s="48" t="n">
        <v>19</v>
      </c>
      <c r="B148" s="29"/>
      <c r="C148" s="29"/>
      <c r="D148" s="30" t="s">
        <v>359</v>
      </c>
      <c r="E148" s="31"/>
      <c r="F148" s="29"/>
      <c r="G148" s="29"/>
      <c r="H148" s="29"/>
      <c r="I148" s="16" t="n">
        <f aca="false">SUM(I149:I153)</f>
        <v>28041.65628</v>
      </c>
      <c r="J148" s="39" t="n">
        <f aca="false">SUM(J149:J153)</f>
        <v>0.0967519459859591</v>
      </c>
      <c r="K148" s="0"/>
      <c r="L148" s="0"/>
      <c r="M148" s="0"/>
      <c r="N148" s="0"/>
      <c r="O148" s="0"/>
      <c r="P148" s="0"/>
      <c r="Q148" s="0"/>
      <c r="R148" s="0"/>
      <c r="S148" s="0"/>
      <c r="T148" s="0"/>
      <c r="U148" s="0"/>
      <c r="V148" s="0"/>
      <c r="W148" s="0"/>
      <c r="X148" s="0"/>
      <c r="Y148" s="0"/>
      <c r="Z148" s="0"/>
      <c r="AA148" s="0"/>
      <c r="AB148" s="0"/>
      <c r="AC148" s="0"/>
      <c r="AD148" s="0"/>
      <c r="AE148" s="0"/>
      <c r="AF148" s="0"/>
      <c r="AG148" s="0"/>
      <c r="AH148" s="0"/>
    </row>
    <row r="149" s="27" customFormat="true" ht="126" hidden="false" customHeight="true" outlineLevel="0" collapsed="false">
      <c r="A149" s="49" t="s">
        <v>360</v>
      </c>
      <c r="B149" s="50"/>
      <c r="C149" s="50" t="s">
        <v>27</v>
      </c>
      <c r="D149" s="51" t="s">
        <v>361</v>
      </c>
      <c r="E149" s="52" t="s">
        <v>107</v>
      </c>
      <c r="F149" s="50" t="n">
        <v>2</v>
      </c>
      <c r="G149" s="50" t="n">
        <v>12360</v>
      </c>
      <c r="H149" s="46" t="n">
        <f aca="false">14377.15*0.8445</f>
        <v>12141.503175</v>
      </c>
      <c r="I149" s="23" t="n">
        <f aca="false">H149*F149</f>
        <v>24283.00635</v>
      </c>
      <c r="J149" s="26" t="n">
        <f aca="false">I149/$I$154</f>
        <v>0.0837835003500693</v>
      </c>
      <c r="K149" s="0"/>
      <c r="L149" s="0"/>
      <c r="M149" s="0"/>
      <c r="N149" s="0"/>
      <c r="O149" s="0"/>
      <c r="P149" s="0"/>
      <c r="Q149" s="0"/>
      <c r="R149" s="0"/>
      <c r="S149" s="0"/>
      <c r="T149" s="0"/>
      <c r="U149" s="0"/>
      <c r="V149" s="0"/>
      <c r="W149" s="0"/>
      <c r="X149" s="0"/>
      <c r="Y149" s="0"/>
      <c r="Z149" s="0"/>
      <c r="AA149" s="0"/>
      <c r="AB149" s="0"/>
      <c r="AC149" s="0"/>
      <c r="AD149" s="0"/>
      <c r="AE149" s="0"/>
      <c r="AF149" s="0"/>
      <c r="AG149" s="0"/>
      <c r="AH149" s="0"/>
    </row>
    <row r="150" s="27" customFormat="true" ht="126" hidden="false" customHeight="true" outlineLevel="0" collapsed="false">
      <c r="A150" s="49" t="s">
        <v>362</v>
      </c>
      <c r="B150" s="50"/>
      <c r="C150" s="50" t="s">
        <v>27</v>
      </c>
      <c r="D150" s="51" t="s">
        <v>363</v>
      </c>
      <c r="E150" s="52" t="s">
        <v>107</v>
      </c>
      <c r="F150" s="50" t="n">
        <v>1</v>
      </c>
      <c r="G150" s="50" t="n">
        <v>789.19</v>
      </c>
      <c r="H150" s="46" t="n">
        <f aca="false">917.99*0.8445</f>
        <v>775.242555</v>
      </c>
      <c r="I150" s="23" t="n">
        <f aca="false">H150*F150</f>
        <v>775.242555</v>
      </c>
      <c r="J150" s="26" t="n">
        <f aca="false">I150/$I$154</f>
        <v>0.00267481439250339</v>
      </c>
      <c r="K150" s="0"/>
      <c r="L150" s="0"/>
      <c r="M150" s="0"/>
      <c r="N150" s="0"/>
      <c r="O150" s="0"/>
      <c r="P150" s="0"/>
      <c r="Q150" s="0"/>
      <c r="R150" s="0"/>
      <c r="S150" s="0"/>
      <c r="T150" s="0"/>
      <c r="U150" s="0"/>
      <c r="V150" s="0"/>
      <c r="W150" s="0"/>
      <c r="X150" s="0"/>
      <c r="Y150" s="0"/>
      <c r="Z150" s="0"/>
      <c r="AA150" s="0"/>
      <c r="AB150" s="0"/>
      <c r="AC150" s="0"/>
      <c r="AD150" s="0"/>
      <c r="AE150" s="0"/>
      <c r="AF150" s="0"/>
      <c r="AG150" s="0"/>
      <c r="AH150" s="0"/>
    </row>
    <row r="151" s="27" customFormat="true" ht="126" hidden="false" customHeight="true" outlineLevel="0" collapsed="false">
      <c r="A151" s="49" t="s">
        <v>364</v>
      </c>
      <c r="B151" s="50"/>
      <c r="C151" s="50" t="s">
        <v>27</v>
      </c>
      <c r="D151" s="51" t="s">
        <v>365</v>
      </c>
      <c r="E151" s="52" t="s">
        <v>107</v>
      </c>
      <c r="F151" s="50" t="n">
        <v>1</v>
      </c>
      <c r="G151" s="50" t="n">
        <v>1889.42</v>
      </c>
      <c r="H151" s="46" t="n">
        <f aca="false">2197.77*0.8445</f>
        <v>1856.016765</v>
      </c>
      <c r="I151" s="23" t="n">
        <f aca="false">H151*F151</f>
        <v>1856.016765</v>
      </c>
      <c r="J151" s="26" t="n">
        <f aca="false">I151/$I$154</f>
        <v>0.00640380268566342</v>
      </c>
      <c r="K151" s="0"/>
      <c r="L151" s="0"/>
      <c r="M151" s="0"/>
      <c r="N151" s="0"/>
      <c r="O151" s="0"/>
      <c r="P151" s="0"/>
      <c r="Q151" s="0"/>
      <c r="R151" s="0"/>
      <c r="S151" s="0"/>
      <c r="T151" s="0"/>
      <c r="U151" s="0"/>
      <c r="V151" s="0"/>
      <c r="W151" s="0"/>
      <c r="X151" s="0"/>
      <c r="Y151" s="0"/>
      <c r="Z151" s="0"/>
      <c r="AA151" s="0"/>
      <c r="AB151" s="0"/>
      <c r="AC151" s="0"/>
      <c r="AD151" s="0"/>
      <c r="AE151" s="0"/>
      <c r="AF151" s="0"/>
      <c r="AG151" s="0"/>
      <c r="AH151" s="0"/>
    </row>
    <row r="152" s="27" customFormat="true" ht="126" hidden="false" customHeight="true" outlineLevel="0" collapsed="false">
      <c r="A152" s="49" t="s">
        <v>366</v>
      </c>
      <c r="B152" s="50"/>
      <c r="C152" s="50" t="s">
        <v>27</v>
      </c>
      <c r="D152" s="51" t="s">
        <v>367</v>
      </c>
      <c r="E152" s="52" t="s">
        <v>107</v>
      </c>
      <c r="F152" s="50" t="n">
        <v>2</v>
      </c>
      <c r="G152" s="50" t="n">
        <v>115.88</v>
      </c>
      <c r="H152" s="46" t="n">
        <f aca="false">148.73*0.8445</f>
        <v>125.602485</v>
      </c>
      <c r="I152" s="23" t="n">
        <f aca="false">H152*F152</f>
        <v>251.20497</v>
      </c>
      <c r="J152" s="26" t="n">
        <f aca="false">I152/$I$154</f>
        <v>0.000866730889436766</v>
      </c>
      <c r="K152" s="0"/>
      <c r="L152" s="0"/>
      <c r="M152" s="0"/>
      <c r="N152" s="0"/>
      <c r="O152" s="0"/>
      <c r="P152" s="0"/>
      <c r="Q152" s="0"/>
      <c r="R152" s="0"/>
      <c r="S152" s="0"/>
      <c r="T152" s="0"/>
      <c r="U152" s="0"/>
      <c r="V152" s="0"/>
      <c r="W152" s="0"/>
      <c r="X152" s="0"/>
      <c r="Y152" s="0"/>
      <c r="Z152" s="0"/>
      <c r="AA152" s="0"/>
      <c r="AB152" s="0"/>
      <c r="AC152" s="0"/>
      <c r="AD152" s="0"/>
      <c r="AE152" s="0"/>
      <c r="AF152" s="0"/>
      <c r="AG152" s="0"/>
      <c r="AH152" s="0"/>
    </row>
    <row r="153" s="33" customFormat="true" ht="126" hidden="false" customHeight="true" outlineLevel="0" collapsed="false">
      <c r="A153" s="49" t="s">
        <v>368</v>
      </c>
      <c r="B153" s="50"/>
      <c r="C153" s="50" t="s">
        <v>27</v>
      </c>
      <c r="D153" s="51" t="s">
        <v>369</v>
      </c>
      <c r="E153" s="52" t="s">
        <v>107</v>
      </c>
      <c r="F153" s="50" t="n">
        <v>4</v>
      </c>
      <c r="G153" s="50" t="n">
        <v>202.09</v>
      </c>
      <c r="H153" s="46" t="n">
        <f aca="false">259.38*0.8445</f>
        <v>219.04641</v>
      </c>
      <c r="I153" s="23" t="n">
        <f aca="false">H153*F153</f>
        <v>876.18564</v>
      </c>
      <c r="J153" s="26" t="n">
        <f aca="false">I153/$I$154</f>
        <v>0.00302309766828627</v>
      </c>
      <c r="K153" s="0"/>
      <c r="L153" s="0"/>
      <c r="M153" s="0"/>
      <c r="N153" s="0"/>
      <c r="O153" s="0"/>
      <c r="P153" s="0"/>
      <c r="Q153" s="0"/>
      <c r="R153" s="0"/>
      <c r="S153" s="0"/>
      <c r="T153" s="0"/>
      <c r="U153" s="0"/>
      <c r="V153" s="0"/>
      <c r="W153" s="0"/>
      <c r="X153" s="0"/>
      <c r="Y153" s="0"/>
      <c r="Z153" s="0"/>
      <c r="AA153" s="0"/>
      <c r="AB153" s="0"/>
      <c r="AC153" s="0"/>
      <c r="AD153" s="0"/>
      <c r="AE153" s="0"/>
      <c r="AF153" s="0"/>
      <c r="AG153" s="0"/>
      <c r="AH153" s="0"/>
    </row>
    <row r="154" customFormat="false" ht="39.75" hidden="false" customHeight="true" outlineLevel="0" collapsed="false">
      <c r="A154" s="53"/>
      <c r="B154" s="54"/>
      <c r="C154" s="54"/>
      <c r="D154" s="55" t="s">
        <v>370</v>
      </c>
      <c r="E154" s="54"/>
      <c r="F154" s="54"/>
      <c r="G154" s="54"/>
      <c r="H154" s="56"/>
      <c r="I154" s="57" t="n">
        <f aca="false">I148+I146+I143+I139+I135+I128+I126+I121+I119+I109+I97+I89+I50+I43+I37+I32+I19+I15+I11+I9</f>
        <v>289830.4111017</v>
      </c>
      <c r="J154" s="58" t="n">
        <v>1</v>
      </c>
    </row>
    <row r="155" customFormat="false" ht="30" hidden="false" customHeight="true" outlineLevel="0" collapsed="false">
      <c r="A155" s="59" t="s">
        <v>371</v>
      </c>
      <c r="B155" s="60"/>
      <c r="C155" s="61"/>
      <c r="D155" s="61"/>
      <c r="E155" s="61"/>
      <c r="F155" s="60"/>
      <c r="G155" s="61"/>
      <c r="H155" s="61"/>
      <c r="I155" s="61"/>
      <c r="J155" s="62"/>
    </row>
    <row r="156" customFormat="false" ht="30" hidden="false" customHeight="true" outlineLevel="0" collapsed="false">
      <c r="A156" s="63"/>
      <c r="B156" s="64" t="s">
        <v>372</v>
      </c>
      <c r="F156" s="64" t="s">
        <v>3</v>
      </c>
      <c r="J156" s="65"/>
    </row>
    <row r="157" customFormat="false" ht="30" hidden="false" customHeight="true" outlineLevel="0" collapsed="false">
      <c r="A157" s="63"/>
      <c r="B157" s="63"/>
      <c r="F157" s="64"/>
      <c r="J157" s="65"/>
    </row>
    <row r="158" customFormat="false" ht="30" hidden="false" customHeight="true" outlineLevel="0" collapsed="false">
      <c r="A158" s="63"/>
      <c r="B158" s="63"/>
      <c r="C158" s="66" t="s">
        <v>373</v>
      </c>
      <c r="D158" s="66"/>
      <c r="F158" s="63"/>
      <c r="G158" s="66" t="s">
        <v>374</v>
      </c>
      <c r="H158" s="66"/>
      <c r="I158" s="66"/>
      <c r="J158" s="67"/>
    </row>
    <row r="159" s="20" customFormat="true" ht="30" hidden="false" customHeight="true" outlineLevel="0" collapsed="false">
      <c r="A159" s="68"/>
      <c r="B159" s="69"/>
      <c r="C159" s="66"/>
      <c r="D159" s="66"/>
      <c r="E159" s="70"/>
      <c r="F159" s="68"/>
      <c r="G159" s="66"/>
      <c r="H159" s="66"/>
      <c r="I159" s="66"/>
      <c r="J159" s="71"/>
      <c r="K159" s="0"/>
      <c r="L159" s="0"/>
      <c r="M159" s="0"/>
      <c r="N159" s="0"/>
      <c r="O159" s="0"/>
      <c r="P159" s="0"/>
      <c r="Q159" s="0"/>
      <c r="R159" s="0"/>
      <c r="S159" s="0"/>
      <c r="T159" s="0"/>
      <c r="U159" s="0"/>
      <c r="V159" s="0"/>
      <c r="W159" s="0"/>
      <c r="X159" s="0"/>
      <c r="Y159" s="0"/>
      <c r="Z159" s="0"/>
      <c r="AA159" s="0"/>
      <c r="AB159" s="0"/>
      <c r="AC159" s="0"/>
      <c r="AD159" s="0"/>
      <c r="AE159" s="0"/>
      <c r="AF159" s="0"/>
      <c r="AG159" s="0"/>
      <c r="AH159" s="0"/>
    </row>
    <row r="161" customFormat="false" ht="19.7" hidden="false" customHeight="false" outlineLevel="0" collapsed="false">
      <c r="I161" s="72"/>
    </row>
  </sheetData>
  <mergeCells count="4">
    <mergeCell ref="A3:J3"/>
    <mergeCell ref="A7:J7"/>
    <mergeCell ref="C158:D159"/>
    <mergeCell ref="G158:I159"/>
  </mergeCells>
  <printOptions headings="false" gridLines="false" gridLinesSet="true" horizontalCentered="false" verticalCentered="false"/>
  <pageMargins left="0.511805555555556" right="0.511805555555556" top="0.39375" bottom="0.275694444444444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2022-01-10T21:07:17Z</dcterms:created>
  <dc:creator>ENGENHARIA</dc:creator>
  <dc:description/>
  <dc:language>pt-BR</dc:language>
  <cp:lastModifiedBy/>
  <cp:lastPrinted>2023-07-07T17:38:27Z</cp:lastPrinted>
  <dcterms:modified xsi:type="dcterms:W3CDTF">2024-09-26T14:07:33Z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