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acarvalho\Desktop\DEAC MP AM\OBRA DE CONSTRUÇÃO DE ANORI\EMPRESA SGRH\PLANILHAS\"/>
    </mc:Choice>
  </mc:AlternateContent>
  <bookViews>
    <workbookView xWindow="0" yWindow="0" windowWidth="28800" windowHeight="12315"/>
  </bookViews>
  <sheets>
    <sheet name="Orçamento Sintético" sheetId="1" r:id="rId1"/>
  </sheets>
  <definedNames>
    <definedName name="_xlnm.Print_Area" localSheetId="0">'Orçamento Sintético'!$A$1:$S$329</definedName>
    <definedName name="_xlnm.Print_Titles" localSheetId="0">'Orçamento Sintético'!$1:$5</definedName>
  </definedNames>
  <calcPr calcId="152511"/>
</workbook>
</file>

<file path=xl/calcChain.xml><?xml version="1.0" encoding="utf-8"?>
<calcChain xmlns="http://schemas.openxmlformats.org/spreadsheetml/2006/main">
  <c r="N343" i="1" l="1"/>
  <c r="N346" i="1"/>
  <c r="N344" i="1"/>
  <c r="I327" i="1" l="1"/>
  <c r="S333" i="1"/>
  <c r="I329" i="1" l="1"/>
  <c r="Q12" i="1"/>
  <c r="N334" i="1" l="1"/>
  <c r="M326" i="1" l="1"/>
  <c r="S287" i="1" l="1"/>
  <c r="M103" i="1" l="1"/>
  <c r="S10" i="1" l="1"/>
  <c r="S11" i="1"/>
  <c r="R10" i="1"/>
  <c r="S12" i="1"/>
  <c r="R12" i="1"/>
  <c r="R291" i="1"/>
  <c r="S291" i="1" s="1"/>
  <c r="R290" i="1"/>
  <c r="S290" i="1" s="1"/>
  <c r="R289" i="1"/>
  <c r="S289" i="1" s="1"/>
  <c r="R288" i="1"/>
  <c r="S288" i="1" s="1"/>
  <c r="R287" i="1"/>
  <c r="S190" i="1"/>
  <c r="R181" i="1"/>
  <c r="S181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171" i="1"/>
  <c r="S171" i="1" s="1"/>
  <c r="R170" i="1"/>
  <c r="S170" i="1" s="1"/>
  <c r="R169" i="1"/>
  <c r="S169" i="1" s="1"/>
  <c r="R56" i="1"/>
  <c r="S56" i="1" s="1"/>
  <c r="R49" i="1"/>
  <c r="S49" i="1" s="1"/>
  <c r="R307" i="1" l="1"/>
  <c r="Q307" i="1"/>
  <c r="O48" i="1"/>
  <c r="O47" i="1"/>
  <c r="O27" i="1"/>
  <c r="S307" i="1" l="1"/>
  <c r="T36" i="1"/>
  <c r="R318" i="1" l="1"/>
  <c r="S318" i="1" s="1"/>
  <c r="R8" i="1" l="1"/>
  <c r="S8" i="1" s="1"/>
  <c r="Q326" i="1" s="1"/>
  <c r="S327" i="1" l="1"/>
  <c r="Q298" i="1"/>
  <c r="Q299" i="1"/>
  <c r="Q297" i="1"/>
  <c r="M106" i="1"/>
  <c r="N72" i="1"/>
  <c r="M72" i="1"/>
  <c r="Q68" i="1"/>
  <c r="N44" i="1"/>
  <c r="M44" i="1"/>
  <c r="Q42" i="1"/>
  <c r="O44" i="1" l="1"/>
  <c r="O72" i="1"/>
  <c r="M78" i="1"/>
  <c r="N78" i="1"/>
  <c r="O78" i="1" s="1"/>
  <c r="R74" i="1"/>
  <c r="Q74" i="1"/>
  <c r="N75" i="1"/>
  <c r="M75" i="1"/>
  <c r="R69" i="1"/>
  <c r="Q69" i="1"/>
  <c r="R66" i="1"/>
  <c r="Q66" i="1"/>
  <c r="R65" i="1"/>
  <c r="Q65" i="1"/>
  <c r="N63" i="1"/>
  <c r="M63" i="1"/>
  <c r="R42" i="1"/>
  <c r="S42" i="1" s="1"/>
  <c r="M77" i="1"/>
  <c r="R68" i="1"/>
  <c r="S68" i="1" s="1"/>
  <c r="M46" i="1"/>
  <c r="S65" i="1" l="1"/>
  <c r="O63" i="1"/>
  <c r="S66" i="1"/>
  <c r="S69" i="1"/>
  <c r="O75" i="1"/>
  <c r="S74" i="1"/>
  <c r="N293" i="1"/>
  <c r="M293" i="1"/>
  <c r="M98" i="1"/>
  <c r="R93" i="1"/>
  <c r="Q93" i="1"/>
  <c r="N280" i="1"/>
  <c r="M280" i="1"/>
  <c r="Q284" i="1"/>
  <c r="M322" i="1"/>
  <c r="N77" i="1"/>
  <c r="O77" i="1" s="1"/>
  <c r="N46" i="1"/>
  <c r="O46" i="1" s="1"/>
  <c r="O96" i="1"/>
  <c r="O95" i="1"/>
  <c r="O94" i="1"/>
  <c r="N95" i="1"/>
  <c r="N96" i="1"/>
  <c r="N94" i="1"/>
  <c r="M95" i="1"/>
  <c r="M96" i="1"/>
  <c r="M94" i="1"/>
  <c r="R298" i="1"/>
  <c r="S298" i="1" s="1"/>
  <c r="R299" i="1"/>
  <c r="S299" i="1" s="1"/>
  <c r="R297" i="1"/>
  <c r="S297" i="1" s="1"/>
  <c r="O280" i="1" l="1"/>
  <c r="S93" i="1"/>
  <c r="O293" i="1"/>
  <c r="R243" i="1"/>
  <c r="N23" i="1"/>
  <c r="N103" i="1" l="1"/>
  <c r="O103" i="1" l="1"/>
  <c r="N99" i="1"/>
  <c r="M99" i="1"/>
  <c r="M23" i="1"/>
  <c r="O23" i="1" s="1"/>
  <c r="N256" i="1"/>
  <c r="M256" i="1"/>
  <c r="O256" i="1" l="1"/>
  <c r="O99" i="1"/>
  <c r="R108" i="1"/>
  <c r="R107" i="1"/>
  <c r="Q108" i="1"/>
  <c r="Q107" i="1"/>
  <c r="N308" i="1"/>
  <c r="N304" i="1"/>
  <c r="N301" i="1"/>
  <c r="O301" i="1" s="1"/>
  <c r="S107" i="1" l="1"/>
  <c r="R182" i="1" l="1"/>
  <c r="S182" i="1" s="1"/>
  <c r="N191" i="1"/>
  <c r="O191" i="1" s="1"/>
  <c r="M304" i="1" l="1"/>
  <c r="N53" i="1"/>
  <c r="O53" i="1" s="1"/>
  <c r="N31" i="1"/>
  <c r="N39" i="1"/>
  <c r="N98" i="1"/>
  <c r="O98" i="1" s="1"/>
  <c r="N106" i="1"/>
  <c r="O106" i="1" l="1"/>
  <c r="O39" i="1"/>
  <c r="O31" i="1"/>
  <c r="N322" i="1" l="1"/>
  <c r="N311" i="1"/>
  <c r="O311" i="1" s="1"/>
  <c r="R119" i="1"/>
  <c r="S119" i="1" s="1"/>
  <c r="R125" i="1"/>
  <c r="R149" i="1"/>
  <c r="Q149" i="1"/>
  <c r="I336" i="1"/>
  <c r="I337" i="1" s="1"/>
  <c r="R228" i="1"/>
  <c r="S228" i="1" s="1"/>
  <c r="R306" i="1"/>
  <c r="S306" i="1"/>
  <c r="R174" i="1"/>
  <c r="S174" i="1" s="1"/>
  <c r="R157" i="1"/>
  <c r="S157" i="1" s="1"/>
  <c r="S149" i="1" l="1"/>
  <c r="O322" i="1"/>
  <c r="N206" i="1"/>
  <c r="O206" i="1" s="1"/>
  <c r="N209" i="1"/>
  <c r="O209" i="1" s="1"/>
  <c r="R36" i="1" l="1"/>
  <c r="W36" i="1"/>
  <c r="R284" i="1"/>
  <c r="S284" i="1" s="1"/>
  <c r="O283" i="1"/>
  <c r="N283" i="1"/>
  <c r="M283" i="1"/>
  <c r="N27" i="1"/>
  <c r="M27" i="1"/>
  <c r="N263" i="1"/>
  <c r="O263" i="1" s="1"/>
  <c r="N264" i="1"/>
  <c r="O264" i="1" s="1"/>
  <c r="M261" i="1"/>
  <c r="N261" i="1"/>
  <c r="O261" i="1" s="1"/>
  <c r="M262" i="1"/>
  <c r="N262" i="1"/>
  <c r="N147" i="1"/>
  <c r="N156" i="1"/>
  <c r="N244" i="1"/>
  <c r="N230" i="1"/>
  <c r="N260" i="1"/>
  <c r="M260" i="1"/>
  <c r="O260" i="1" l="1"/>
  <c r="O262" i="1"/>
  <c r="R226" i="1"/>
  <c r="S226" i="1" s="1"/>
  <c r="O230" i="1"/>
  <c r="N233" i="1"/>
  <c r="O233" i="1" s="1"/>
  <c r="Q145" i="1"/>
  <c r="Q136" i="1"/>
  <c r="S136" i="1" s="1"/>
  <c r="R130" i="1"/>
  <c r="Q130" i="1"/>
  <c r="S130" i="1" s="1"/>
  <c r="Q125" i="1"/>
  <c r="S125" i="1" s="1"/>
  <c r="U36" i="1"/>
  <c r="Q36" i="1" s="1"/>
  <c r="S36" i="1" l="1"/>
  <c r="T37" i="1"/>
  <c r="R59" i="1"/>
  <c r="Q59" i="1"/>
  <c r="M147" i="1"/>
  <c r="O147" i="1" s="1"/>
  <c r="R145" i="1"/>
  <c r="S145" i="1" s="1"/>
  <c r="M308" i="1"/>
  <c r="O308" i="1" s="1"/>
  <c r="O304" i="1"/>
  <c r="M156" i="1"/>
  <c r="O156" i="1" s="1"/>
  <c r="N140" i="1"/>
  <c r="N138" i="1"/>
  <c r="N136" i="1"/>
  <c r="N133" i="1"/>
  <c r="N131" i="1"/>
  <c r="N122" i="1"/>
  <c r="M122" i="1"/>
  <c r="M48" i="1"/>
  <c r="N48" i="1"/>
  <c r="N47" i="1"/>
  <c r="M47" i="1"/>
  <c r="M39" i="1"/>
  <c r="M31" i="1"/>
  <c r="M140" i="1"/>
  <c r="M138" i="1"/>
  <c r="R136" i="1"/>
  <c r="M136" i="1"/>
  <c r="M131" i="1"/>
  <c r="M133" i="1" s="1"/>
  <c r="M337" i="1" l="1"/>
  <c r="O122" i="1"/>
  <c r="O136" i="1"/>
  <c r="O138" i="1"/>
  <c r="O131" i="1"/>
  <c r="O133" i="1"/>
  <c r="O140" i="1"/>
  <c r="S59" i="1"/>
  <c r="O244" i="1"/>
  <c r="S243" i="1"/>
  <c r="S108" i="1" l="1"/>
  <c r="O327" i="1" l="1"/>
</calcChain>
</file>

<file path=xl/comments1.xml><?xml version="1.0" encoding="utf-8"?>
<comments xmlns="http://schemas.openxmlformats.org/spreadsheetml/2006/main">
  <authors>
    <author>Luciana de Souza Carvalho</author>
  </authors>
  <commentList>
    <comment ref="Q12" authorId="0" shapeId="0">
      <text>
        <r>
          <rPr>
            <b/>
            <sz val="9"/>
            <color indexed="81"/>
            <rFont val="Segoe UI"/>
            <family val="2"/>
          </rPr>
          <t>com base na equipe de funcionários da 3ª medição</t>
        </r>
      </text>
    </comment>
    <comment ref="M23" authorId="0" shapeId="0">
      <text>
        <r>
          <rPr>
            <b/>
            <sz val="9"/>
            <color indexed="81"/>
            <rFont val="Segoe UI"/>
            <family val="2"/>
          </rPr>
          <t>frente (segurança) e 5 m a menos de cada lado q não são murados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6" authorId="0" shapeId="0">
      <text>
        <r>
          <rPr>
            <b/>
            <sz val="9"/>
            <color indexed="81"/>
            <rFont val="Segoe UI"/>
            <family val="2"/>
          </rPr>
          <t>quat da escavação apenas da ETE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36" authorId="0" shapeId="0">
      <text>
        <r>
          <rPr>
            <b/>
            <sz val="9"/>
            <color indexed="81"/>
            <rFont val="Segoe UI"/>
            <family val="2"/>
          </rPr>
          <t xml:space="preserve">ETE
</t>
        </r>
      </text>
    </comment>
    <comment ref="U36" authorId="0" shapeId="0">
      <text>
        <r>
          <rPr>
            <b/>
            <sz val="9"/>
            <color indexed="81"/>
            <rFont val="Segoe UI"/>
            <family val="2"/>
          </rPr>
          <t>cisterna</t>
        </r>
      </text>
    </comment>
    <comment ref="V36" authorId="0" shapeId="0">
      <text>
        <r>
          <rPr>
            <b/>
            <sz val="9"/>
            <color indexed="81"/>
            <rFont val="Segoe UI"/>
            <family val="2"/>
          </rPr>
          <t>sapatas</t>
        </r>
      </text>
    </comment>
    <comment ref="W36" authorId="0" shapeId="0">
      <text>
        <r>
          <rPr>
            <b/>
            <sz val="9"/>
            <color indexed="81"/>
            <rFont val="Segoe UI"/>
            <family val="2"/>
          </rPr>
          <t>caixa de acumulação pós ETE</t>
        </r>
      </text>
    </comment>
    <comment ref="M39" authorId="0" shapeId="0">
      <text>
        <r>
          <rPr>
            <b/>
            <sz val="9"/>
            <color indexed="81"/>
            <rFont val="Segoe UI"/>
            <family val="2"/>
          </rPr>
          <t>serviço não parte da fundação q não foi necessária devido nível do terreno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47" authorId="0" shapeId="0">
      <text>
        <r>
          <rPr>
            <b/>
            <sz val="9"/>
            <color indexed="81"/>
            <rFont val="Segoe UI"/>
            <family val="2"/>
          </rPr>
          <t xml:space="preserve">inserir serviço
</t>
        </r>
      </text>
    </comment>
    <comment ref="Q55" authorId="0" shapeId="0">
      <text>
        <r>
          <rPr>
            <b/>
            <sz val="9"/>
            <color indexed="81"/>
            <rFont val="Segoe UI"/>
            <family val="2"/>
          </rPr>
          <t xml:space="preserve">Quantitativo para Rufo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98" authorId="0" shapeId="0">
      <text>
        <r>
          <rPr>
            <b/>
            <sz val="9"/>
            <color indexed="81"/>
            <rFont val="Segoe UI"/>
            <family val="2"/>
          </rPr>
          <t>-lixeira 1,5m
- 1,5 metro (terreno 18m)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19" authorId="0" shapeId="0">
      <text>
        <r>
          <rPr>
            <b/>
            <sz val="9"/>
            <color indexed="81"/>
            <rFont val="Segoe UI"/>
            <family val="2"/>
          </rPr>
          <t>Porta de correr</t>
        </r>
      </text>
    </comment>
    <comment ref="M122" authorId="0" shapeId="0">
      <text>
        <r>
          <rPr>
            <b/>
            <sz val="9"/>
            <color indexed="81"/>
            <rFont val="Segoe UI"/>
            <family val="2"/>
          </rPr>
          <t>Porta da eclusa - mudança na porta de entrada para acessibilidade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30" authorId="0" shapeId="0">
      <text>
        <r>
          <rPr>
            <b/>
            <sz val="9"/>
            <color indexed="81"/>
            <rFont val="Segoe UI"/>
            <family val="2"/>
          </rPr>
          <t>porta de entrada (central e banderola) + llateral porta do corredor</t>
        </r>
      </text>
    </comment>
    <comment ref="M131" authorId="0" shapeId="0">
      <text>
        <r>
          <rPr>
            <b/>
            <sz val="9"/>
            <color indexed="81"/>
            <rFont val="Segoe UI"/>
            <family val="2"/>
          </rPr>
          <t>supressão de 2 um da J4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36" authorId="0" shapeId="0">
      <text>
        <r>
          <rPr>
            <b/>
            <sz val="9"/>
            <color indexed="81"/>
            <rFont val="Segoe UI"/>
            <family val="2"/>
          </rPr>
          <t>Exclusão de 2n da J4 e colocação de grade P12 na área de serviço</t>
        </r>
      </text>
    </comment>
    <comment ref="Q136" authorId="0" shapeId="0">
      <text>
        <r>
          <rPr>
            <b/>
            <sz val="9"/>
            <color indexed="81"/>
            <rFont val="Segoe UI"/>
            <family val="2"/>
          </rPr>
          <t>P12 - área de serviço</t>
        </r>
      </text>
    </comment>
    <comment ref="M138" authorId="0" shapeId="0">
      <text>
        <r>
          <rPr>
            <b/>
            <sz val="9"/>
            <color indexed="81"/>
            <rFont val="Segoe UI"/>
            <family val="2"/>
          </rPr>
          <t>supressão de 2 janelas (fachada e AS)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40" authorId="0" shapeId="0">
      <text>
        <r>
          <rPr>
            <b/>
            <sz val="9"/>
            <color indexed="81"/>
            <rFont val="Segoe UI"/>
            <family val="2"/>
          </rPr>
          <t>supressão de 2 um da J4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45" authorId="0" shapeId="0">
      <text>
        <r>
          <rPr>
            <b/>
            <sz val="9"/>
            <color indexed="81"/>
            <rFont val="Segoe UI"/>
            <family val="2"/>
          </rPr>
          <t>P12 - porta criada na área de serviço + 
Modificação da porta principal</t>
        </r>
      </text>
    </comment>
    <comment ref="M147" authorId="0" shapeId="0">
      <text>
        <r>
          <rPr>
            <b/>
            <sz val="9"/>
            <color indexed="81"/>
            <rFont val="Segoe UI"/>
            <family val="2"/>
          </rPr>
          <t>supressão de 2 u n da J4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49" authorId="0" shapeId="0">
      <text>
        <r>
          <rPr>
            <b/>
            <sz val="9"/>
            <color indexed="81"/>
            <rFont val="Segoe UI"/>
            <family val="2"/>
          </rPr>
          <t>bancada da cozinha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56" authorId="0" shapeId="0">
      <text>
        <r>
          <rPr>
            <b/>
            <sz val="9"/>
            <color indexed="81"/>
            <rFont val="Segoe UI"/>
            <family val="2"/>
          </rPr>
          <t>Substituição por caixas de menor capacidade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56" authorId="0" shapeId="0">
      <text>
        <r>
          <rPr>
            <b/>
            <sz val="9"/>
            <color indexed="81"/>
            <rFont val="Segoe UI"/>
            <family val="2"/>
          </rPr>
          <t>Caixas de 1.000L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57" authorId="0" shapeId="0">
      <text>
        <r>
          <rPr>
            <b/>
            <sz val="9"/>
            <color indexed="81"/>
            <rFont val="Segoe UI"/>
            <family val="2"/>
          </rPr>
          <t>Cisterna + drenagem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74" authorId="0" shapeId="0">
      <text>
        <r>
          <rPr>
            <b/>
            <sz val="9"/>
            <color indexed="81"/>
            <rFont val="Segoe UI"/>
            <family val="2"/>
          </rPr>
          <t>recalque do sistema de drenagem e ETE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82" authorId="0" shapeId="0">
      <text>
        <r>
          <rPr>
            <b/>
            <sz val="9"/>
            <color indexed="81"/>
            <rFont val="Segoe UI"/>
            <family val="2"/>
          </rPr>
          <t>TANQUE DO DML</t>
        </r>
      </text>
    </comment>
    <comment ref="G190" authorId="0" shapeId="0">
      <text>
        <r>
          <rPr>
            <b/>
            <sz val="9"/>
            <color indexed="81"/>
            <rFont val="Segoe UI"/>
            <family val="2"/>
          </rPr>
          <t>cxs de esgoto e 3 cxs de drenagem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90" authorId="0" shapeId="0">
      <text>
        <r>
          <rPr>
            <b/>
            <sz val="9"/>
            <color indexed="81"/>
            <rFont val="Segoe UI"/>
            <family val="2"/>
          </rPr>
          <t>cxs para drenagem</t>
        </r>
      </text>
    </comment>
    <comment ref="M206" authorId="0" shapeId="0">
      <text>
        <r>
          <rPr>
            <b/>
            <sz val="9"/>
            <color indexed="81"/>
            <rFont val="Segoe UI"/>
            <family val="2"/>
          </rPr>
          <t>Bancada necessária é menor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209" authorId="0" shapeId="0">
      <text>
        <r>
          <rPr>
            <b/>
            <sz val="9"/>
            <color indexed="81"/>
            <rFont val="Segoe UI"/>
            <family val="2"/>
          </rPr>
          <t>Item em duplicidade</t>
        </r>
      </text>
    </comment>
    <comment ref="Q228" authorId="0" shapeId="0">
      <text>
        <r>
          <rPr>
            <b/>
            <sz val="9"/>
            <color indexed="81"/>
            <rFont val="Segoe UI"/>
            <family val="2"/>
          </rPr>
          <t>Bombas instaladas - reuso, cisterna e ete, futura tv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243" authorId="0" shapeId="0">
      <text>
        <r>
          <rPr>
            <b/>
            <sz val="9"/>
            <color indexed="81"/>
            <rFont val="Segoe UI"/>
            <family val="2"/>
          </rPr>
          <t>entrada da fibra solicitada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293" authorId="0" shapeId="0">
      <text>
        <r>
          <rPr>
            <b/>
            <sz val="9"/>
            <color indexed="81"/>
            <rFont val="Segoe UI"/>
            <family val="2"/>
          </rPr>
          <t>menos a lixeira, e a correção do comprimento total da frente 18m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311" authorId="0" shapeId="0">
      <text>
        <r>
          <rPr>
            <b/>
            <sz val="9"/>
            <color indexed="81"/>
            <rFont val="Segoe UI"/>
            <family val="2"/>
          </rPr>
          <t>dml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<sst xmlns="http://schemas.openxmlformats.org/spreadsheetml/2006/main" count="1348" uniqueCount="872">
  <si>
    <t>Obra</t>
  </si>
  <si>
    <t>Bancos</t>
  </si>
  <si>
    <t>B.D.I.</t>
  </si>
  <si>
    <t>Construção do remanescente da edificação destinada a instalar as Promotorias de Justiça da Comarca de Anori/AM, em terreno localizado na cidade de Anori -AM</t>
  </si>
  <si>
    <t xml:space="preserve">SINAPI - 08/2022 - Amazonas
SBC - 09/2022 - Amazonas
SICRO3 - 04/2022 - Amazonas
ORSE - 07/2022 - Sergipe
SEDOP - 09/2022 - Pará
SEINFRA - 027 - Ceará
</t>
  </si>
  <si>
    <t>22,23%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</si>
  <si>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</si>
  <si>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</si>
  <si>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</si>
  <si>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</si>
  <si>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</si>
  <si>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</si>
  <si>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</si>
  <si>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</si>
  <si>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</si>
  <si>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</si>
  <si>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</si>
  <si>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</si>
  <si>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ADMINISTRAÇÃO DA OBRA</t>
  </si>
  <si>
    <t xml:space="preserve"> 1.1 </t>
  </si>
  <si>
    <t>ADMINISTRAÇÃO LOCAL</t>
  </si>
  <si>
    <t xml:space="preserve"> 1.1.1 </t>
  </si>
  <si>
    <t xml:space="preserve"> 011008 </t>
  </si>
  <si>
    <t>Próprio</t>
  </si>
  <si>
    <t>EQUIPE DE OBRA-ENGENHEIRO/MESTRE/APONTADOR+2 VIGIAS</t>
  </si>
  <si>
    <t>Mês</t>
  </si>
  <si>
    <t xml:space="preserve"> 1.2 </t>
  </si>
  <si>
    <t>ALIMENTAÇÃO, TRANSPORTE, EPI'S E FERRAMENTAIS</t>
  </si>
  <si>
    <t xml:space="preserve"> 1.2.1 </t>
  </si>
  <si>
    <t xml:space="preserve"> MPAM - 001 </t>
  </si>
  <si>
    <t>EPI e Ferramental (10 Funcionários) (Mês)</t>
  </si>
  <si>
    <t xml:space="preserve"> 1.2.2 </t>
  </si>
  <si>
    <t xml:space="preserve"> MPAM 05/2016 </t>
  </si>
  <si>
    <t>Taxas e Emolumentos</t>
  </si>
  <si>
    <t>un</t>
  </si>
  <si>
    <t xml:space="preserve"> 1.2.3 </t>
  </si>
  <si>
    <t xml:space="preserve"> 014022 </t>
  </si>
  <si>
    <t>SBC</t>
  </si>
  <si>
    <t>CONSUMO CAFE MATINAL,ALMOCO,E VALE-TRANSPORTE PARA OPERARIOS</t>
  </si>
  <si>
    <t>DIA</t>
  </si>
  <si>
    <t xml:space="preserve"> 1.2.4 </t>
  </si>
  <si>
    <t xml:space="preserve"> COMP-338425 </t>
  </si>
  <si>
    <t>Complementares (Cursos, Exames e Seguros)</t>
  </si>
  <si>
    <t>H</t>
  </si>
  <si>
    <t xml:space="preserve"> 1.3 </t>
  </si>
  <si>
    <t>MOBILIZAÇÃO/DESMOBILIZAÇÃO</t>
  </si>
  <si>
    <t xml:space="preserve"> 1.3.1 </t>
  </si>
  <si>
    <t xml:space="preserve"> COMP-505167 </t>
  </si>
  <si>
    <t>Mobilização e desmobilização de equipamentos via fluvial - Manaus / Barcelos, Borba, Tefé, São Sebastião do Uatumã, Boa vista do Ramos, Maués, Urucará, Itapiranga, Silves, Itacoatiara, Nova Olinda, Urucurituba, Coari, Codajás, Anori, Anamã e Careiro da Várzea (ida e volta), balsa fretada c/ empurrador de 315HP p/ 500 ton</t>
  </si>
  <si>
    <t>T/KM</t>
  </si>
  <si>
    <t xml:space="preserve"> 2 </t>
  </si>
  <si>
    <t>SERVIÇOS PRELIMINARES</t>
  </si>
  <si>
    <t xml:space="preserve"> 2.1 </t>
  </si>
  <si>
    <t>INFRAESTRUTURA DO CANTEIRO</t>
  </si>
  <si>
    <t xml:space="preserve"> 2.1.1 </t>
  </si>
  <si>
    <t xml:space="preserve"> 6096 </t>
  </si>
  <si>
    <t>ORSE</t>
  </si>
  <si>
    <t>Ligação Predial de Água em Mureta de Concreto, Provisória ou Definitiva, com Fornecimento de Material, inclusive Mureta e Hidrômetro, Rede DN 50mm</t>
  </si>
  <si>
    <t>UN</t>
  </si>
  <si>
    <t xml:space="preserve"> 2.1.2 </t>
  </si>
  <si>
    <t xml:space="preserve"> 93210 </t>
  </si>
  <si>
    <t>SINAPI</t>
  </si>
  <si>
    <t>EXECUÇÃO DE REFEITÓRIO EM CANTEIRO DE OBRA EM CHAPA DE MADEIRA COMPENSADA, NÃO INCLUSO MOBILIÁRIO E EQUIPAMENTOS. AF_02/2016</t>
  </si>
  <si>
    <t>m²</t>
  </si>
  <si>
    <t xml:space="preserve"> 2.1.3 </t>
  </si>
  <si>
    <t xml:space="preserve"> 016500 </t>
  </si>
  <si>
    <t>PLACA DE RESPONSABILIDADE TECNICA EM OBRAS</t>
  </si>
  <si>
    <t xml:space="preserve"> 2.1.4 </t>
  </si>
  <si>
    <t xml:space="preserve"> 00020193 </t>
  </si>
  <si>
    <t>LOCACAO DE ANDAIME METALICO TIPO FACHADEIRO, LARGURA DE 1,20 M X ALTURA DE 2,0 M POR PAINEL, INCLUINDO DIAGONAIS EM X, BARRAS DE LIGACAO, SAPATAS E DEMAIS ITENS NECESSARIOS A MONTAGEM (NAO INCLUI INSTALACAO)</t>
  </si>
  <si>
    <t>M2XMES</t>
  </si>
  <si>
    <t xml:space="preserve"> 2.1.5 </t>
  </si>
  <si>
    <t xml:space="preserve"> 00010527 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</si>
  <si>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</si>
  <si>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MXMES</t>
  </si>
  <si>
    <t xml:space="preserve"> 2.1.6 </t>
  </si>
  <si>
    <t xml:space="preserve"> 98459 </t>
  </si>
  <si>
    <t>TAPUME COM TELHA METÁLICA. AF_05/2018</t>
  </si>
  <si>
    <t xml:space="preserve"> 2.1.7 </t>
  </si>
  <si>
    <t xml:space="preserve"> 9416 </t>
  </si>
  <si>
    <t>Instalação provisória de energia elétrica, aerea, trifasica, em poste galvanizado, exclusive fornecimento do medidor</t>
  </si>
  <si>
    <t xml:space="preserve"> 2.1.8 </t>
  </si>
  <si>
    <t xml:space="preserve"> 020203 </t>
  </si>
  <si>
    <t>LIMPEZA DE TERRENO-CORTE VEGETACAO RASTEIRA C/ROCADEIRA COSTAL</t>
  </si>
  <si>
    <t xml:space="preserve"> 2.2 </t>
  </si>
  <si>
    <t>PROJETOS</t>
  </si>
  <si>
    <t xml:space="preserve"> 2.2.1 </t>
  </si>
  <si>
    <t xml:space="preserve"> 000301 </t>
  </si>
  <si>
    <t>PROJETO ESTRUTURAL PARA EDIFICACOES</t>
  </si>
  <si>
    <t xml:space="preserve"> 2.2.2 </t>
  </si>
  <si>
    <t xml:space="preserve"> 000855 </t>
  </si>
  <si>
    <t>PROJETO EXECUTIVO ARQUI/ESTRUT/INSTAL.GERAL- EDIFICACAO</t>
  </si>
  <si>
    <t xml:space="preserve"> 2.3 </t>
  </si>
  <si>
    <t>MURO</t>
  </si>
  <si>
    <t xml:space="preserve"> 2.3.1 </t>
  </si>
  <si>
    <t xml:space="preserve"> 97624 </t>
  </si>
  <si>
    <t>DEMOLIÇÃO DE ALVENARIA DE TIJOLO MACIÇO, DE FORMA MANUAL, SEM REAPROVEITAMENTO. AF_12/2017</t>
  </si>
  <si>
    <t>m³</t>
  </si>
  <si>
    <t xml:space="preserve"> 2.3.2 </t>
  </si>
  <si>
    <t xml:space="preserve"> 102722 </t>
  </si>
  <si>
    <t>DRENO EM MURO DE CONTENÇÃO, EXECUTADO NO PÉ DO MURO, COM TUBO DE PEAD CORRUGADO FLEXÍVEL PERFURADO, ENCHIMENTO COM BRITA, ENVOLVIDO COM MANTA GEOTÊXTIL. AF_07/2021</t>
  </si>
  <si>
    <t>M</t>
  </si>
  <si>
    <t xml:space="preserve"> 2.3.3 </t>
  </si>
  <si>
    <t xml:space="preserve"> 021001 </t>
  </si>
  <si>
    <t>MURO DE CONTENCAO EM CONCRETO 1:3:5 - 0,30x1,0m</t>
  </si>
  <si>
    <t xml:space="preserve"> 2.4 </t>
  </si>
  <si>
    <t>CORTES/ATERROS/ESCAVAÇÕES</t>
  </si>
  <si>
    <t xml:space="preserve"> 2.4.1 </t>
  </si>
  <si>
    <t xml:space="preserve"> 020110 </t>
  </si>
  <si>
    <t>ATERRO/COMPACTACAO MECANICA-EQUIPAMENTO PESADO-MAT.DA OBRA</t>
  </si>
  <si>
    <t xml:space="preserve"> 2.4.2 </t>
  </si>
  <si>
    <t xml:space="preserve"> 4578 </t>
  </si>
  <si>
    <t>Escavação, carga e transporte de material de 1ª  categoria,  com escavadeira hidraúlica, dmt 401  a 600m</t>
  </si>
  <si>
    <t xml:space="preserve"> 2.4.3 </t>
  </si>
  <si>
    <t xml:space="preserve"> 2497 </t>
  </si>
  <si>
    <t>Escavação manual de vala ou cava em material de 1ª categoria, profundidade até 1,50m</t>
  </si>
  <si>
    <t xml:space="preserve"> 3 </t>
  </si>
  <si>
    <t>INFRAESTRUTURA</t>
  </si>
  <si>
    <t xml:space="preserve"> 3.1 </t>
  </si>
  <si>
    <t>ESCAVAÇÃO, ATERRO E REATERRO</t>
  </si>
  <si>
    <t xml:space="preserve"> 3.1.1 </t>
  </si>
  <si>
    <t xml:space="preserve"> 020167 </t>
  </si>
  <si>
    <t>ESCAVACAO MANUAL VALA BALDRAME 0,6x0,6x0,20m SAPATA CORRIDA</t>
  </si>
  <si>
    <t xml:space="preserve"> 3.2 </t>
  </si>
  <si>
    <t>CONCRETO P/ FUNDAÇAO</t>
  </si>
  <si>
    <t xml:space="preserve"> 3.2.1 </t>
  </si>
  <si>
    <t>FORMA</t>
  </si>
  <si>
    <t xml:space="preserve"> 3.2.1.1 </t>
  </si>
  <si>
    <t xml:space="preserve"> 030300 </t>
  </si>
  <si>
    <t>FORMA DE MADEIRA PARA VIGAS BALDRAME-INCLUSIVE DESMOLDAGEM</t>
  </si>
  <si>
    <t xml:space="preserve"> 3.2.2 </t>
  </si>
  <si>
    <t>ARMAÇÃO EM AÇO CA-50B E CA-60B, FORNECIMENTO, CORTE, DOBRAGEM E COLOCAÇÃO NAS FORMAS INCLUSIVE 10%</t>
  </si>
  <si>
    <t xml:space="preserve"> 3.2.2.1 </t>
  </si>
  <si>
    <t xml:space="preserve"> 040142 </t>
  </si>
  <si>
    <t>ACO CA-50 MEDIO CORTADO E DOBRADO-COLOCADO EM FORMAS(M0)</t>
  </si>
  <si>
    <t>KG</t>
  </si>
  <si>
    <t xml:space="preserve"> 3.2.3 </t>
  </si>
  <si>
    <t>CONCRETO EM FUNDAÇÃO (SAPATAS E VIGAS BALDRAME)</t>
  </si>
  <si>
    <t xml:space="preserve"> 3.2.3.1 </t>
  </si>
  <si>
    <t xml:space="preserve"> COMP-626526 </t>
  </si>
  <si>
    <t>CONCRETAGEM DE SAPATAS, FCK 25 MPA, COM USO DE BOMBA LANÇAMENTO, ADENSAMENTO E ACABAMENTO. AF_11/2016</t>
  </si>
  <si>
    <t xml:space="preserve"> 3.2.3.2 </t>
  </si>
  <si>
    <t xml:space="preserve"> 98562 </t>
  </si>
  <si>
    <t>IMPERMEABILIZAÇÃO DE FLOREIRA OU VIGA BALDRAME COM ARGAMASSA DE CIMENTO E AREIA, COM ADITIVO IMPERMEABILIZANTE, E = 2 CM. AF_06/2018</t>
  </si>
  <si>
    <t xml:space="preserve"> 3.2.3.3 </t>
  </si>
  <si>
    <t xml:space="preserve"> 98546 </t>
  </si>
  <si>
    <t>IMPERMEABILIZAÇÃO DE SUPERFÍCIE COM MANTA ASFÁLTICA, UMA CAMADA, INCLUSIVE APLICAÇÃO DE PRIMER ASFÁLTICO, E=3MM. AF_06/2018</t>
  </si>
  <si>
    <t xml:space="preserve"> 4 </t>
  </si>
  <si>
    <t>COBERTURA</t>
  </si>
  <si>
    <t xml:space="preserve"> 4.1 </t>
  </si>
  <si>
    <t>TRAMA METALICA</t>
  </si>
  <si>
    <t xml:space="preserve"> 4.1.1 </t>
  </si>
  <si>
    <t xml:space="preserve"> 92580 </t>
  </si>
  <si>
    <t>TRAMA DE AÇO COMPOSTA POR TERÇAS PARA TELHADOS DE ATÉ 2 ÁGUAS PARA TELHA ONDULADA DE FIBROCIMENTO, METÁLICA, PLÁSTICA OU TERMOACÚSTICA, INCLUSO TRANSPORTE VERTICAL. AF_07/2019</t>
  </si>
  <si>
    <t xml:space="preserve"> 4.1.2 </t>
  </si>
  <si>
    <t xml:space="preserve"> 92620 </t>
  </si>
  <si>
    <t>FABRICAÇÃO E INSTALAÇÃO DE TESOURA INTEIRA EM AÇO, VÃO DE 12 M, PARA TELHA ONDULADA DE FIBROCIMENTO, METÁLICA, PLÁSTICA OU TERMOACÚSTICA, INCLUSO IÇAMENTO. AF_12/2015</t>
  </si>
  <si>
    <t xml:space="preserve"> 4.2 </t>
  </si>
  <si>
    <t>TELHAMENTO COM TELHA METÁLICA TERMOACÚSTICA</t>
  </si>
  <si>
    <t xml:space="preserve"> 4.2.1 </t>
  </si>
  <si>
    <t xml:space="preserve"> 94216 </t>
  </si>
  <si>
    <t>TELHAMENTO COM TELHA METÁLICA TERMOACÚSTICA E = 30 MM, COM ATÉ 2 ÁGUAS, INCLUSO IÇAMENTO. AF_07/2019</t>
  </si>
  <si>
    <t xml:space="preserve"> 4.3 </t>
  </si>
  <si>
    <t>DRENAGEM DE ÁGUAS PLUVIAIS</t>
  </si>
  <si>
    <t xml:space="preserve"> 4.3.1 </t>
  </si>
  <si>
    <t xml:space="preserve"> 91790 </t>
  </si>
  <si>
    <t>(COMPOSIÇÃO REPRESENTATIVA) DO SERVIÇO DE INSTALAÇÃO DE TUBOS DE PVC, SÉRIE R, ÁGUA PLUVIAL, DN 100 MM (INSTALADO EM RAMAL DE ENCAMINHAMENTO, OU CONDUTORES VERTICAIS), INCLUSIVE CONEXÕES, CORTES E FIXAÇÕES, PARA PRÉDIOS. AF_10/2015</t>
  </si>
  <si>
    <t xml:space="preserve"> 4.3.2 </t>
  </si>
  <si>
    <t xml:space="preserve"> 94228 </t>
  </si>
  <si>
    <t>CALHA EM CHAPA DE AÇO GALVANIZADO NÚMERO 24, DESENVOLVIMENTO DE 50 CM, INCLUSO TRANSPORTE VERTICAL. AF_07/2019</t>
  </si>
  <si>
    <t xml:space="preserve"> 5 </t>
  </si>
  <si>
    <t>SUPRAESTRUTURA</t>
  </si>
  <si>
    <t xml:space="preserve"> 5.1 </t>
  </si>
  <si>
    <t>PILARES</t>
  </si>
  <si>
    <t xml:space="preserve"> 5.1.1 </t>
  </si>
  <si>
    <t xml:space="preserve"> 5.1.1.1 </t>
  </si>
  <si>
    <t xml:space="preserve"> 040251 </t>
  </si>
  <si>
    <t>FORMAS DE MADEIRA PARA CONCRETO DE PILARES E PORTICOS</t>
  </si>
  <si>
    <t xml:space="preserve"> 5.1.2 </t>
  </si>
  <si>
    <t xml:space="preserve"> 5.1.2.1 </t>
  </si>
  <si>
    <t xml:space="preserve"> 040476 </t>
  </si>
  <si>
    <t>ACO CA-50 COM FORNECIMENTO/CORTE/DOBRA E COLOCACAO EM FORMAS</t>
  </si>
  <si>
    <t xml:space="preserve"> 5.1.2.2 </t>
  </si>
  <si>
    <t xml:space="preserve"> 040477 </t>
  </si>
  <si>
    <t>ACO CA-60 MEDIO 3,4mm A 9,5mm-CORTE E DOBRA EM FORMAS</t>
  </si>
  <si>
    <t xml:space="preserve"> 5.1.3 </t>
  </si>
  <si>
    <t>CONCRETO SUPRAESTRUTURA</t>
  </si>
  <si>
    <t xml:space="preserve"> 5.1.3.1 </t>
  </si>
  <si>
    <t xml:space="preserve"> 94971 </t>
  </si>
  <si>
    <t>CONCRETO FCK = 25MPA, TRAÇO 1:2,3:2,7 (EM MASSA SECA DE CIMENTO/ AREIA MÉDIA/ BRITA 1) - PREPARO MECÂNICO COM BETONEIRA 600 L. AF_05/2021</t>
  </si>
  <si>
    <t xml:space="preserve"> 5.1.3.2 </t>
  </si>
  <si>
    <t xml:space="preserve"> 103670 </t>
  </si>
  <si>
    <t>LANÇAMENTO COM USO DE BALDES, ADENSAMENTO E ACABAMENTO DE CONCRETO EM ESTRUTURAS. AF_02/2022</t>
  </si>
  <si>
    <t xml:space="preserve"> 5.2 </t>
  </si>
  <si>
    <t>VIGAS</t>
  </si>
  <si>
    <t xml:space="preserve"> 5.2.1 </t>
  </si>
  <si>
    <t>FORMAS</t>
  </si>
  <si>
    <t xml:space="preserve"> 5.2.1.1 </t>
  </si>
  <si>
    <t xml:space="preserve"> 92448 </t>
  </si>
  <si>
    <t>MONTAGEM E DESMONTAGEM DE FÔRMA DE VIGA, ESCORAMENTO COM PONTALETE DE MADEIRA, PÉ-DIREITO SIMPLES, EM MADEIRA SERRADA, 4 UTILIZAÇÕES. AF_09/2020</t>
  </si>
  <si>
    <t xml:space="preserve"> 5.2.2 </t>
  </si>
  <si>
    <t xml:space="preserve"> 5.2.2.1 </t>
  </si>
  <si>
    <t xml:space="preserve"> 5.2.2.2 </t>
  </si>
  <si>
    <t xml:space="preserve"> 5.2.3 </t>
  </si>
  <si>
    <t>CONCRETO SUPERESTRUTURA</t>
  </si>
  <si>
    <t xml:space="preserve"> 5.2.3.1 </t>
  </si>
  <si>
    <t xml:space="preserve"> 5.2.3.2 </t>
  </si>
  <si>
    <t xml:space="preserve"> 5.3 </t>
  </si>
  <si>
    <t>LAJES</t>
  </si>
  <si>
    <t xml:space="preserve"> 5.3.1 </t>
  </si>
  <si>
    <t xml:space="preserve"> 5.3.1.1 </t>
  </si>
  <si>
    <t xml:space="preserve"> 92522 </t>
  </si>
  <si>
    <t>MONTAGEM E DESMONTAGEM DE FÔRMA DE LAJE MACIÇA, PÉ-DIREITO SIMPLES, EM CHAPA DE MADEIRA COMPENSADA RESINADA, 8 UTILIZAÇÕES. AF_09/2020</t>
  </si>
  <si>
    <t xml:space="preserve"> 5.3.2 </t>
  </si>
  <si>
    <t>ARMAÇÃO EM AÇO CA-50B E CA-60B, FORNECIMENTO, CORTE, DOBRAGEM E COLOCAÇÃO NAS FORMAS INCLUSIVE 10% DE PERDAS</t>
  </si>
  <si>
    <t xml:space="preserve"> 5.3.2.1 </t>
  </si>
  <si>
    <t xml:space="preserve"> 5.3.2.2 </t>
  </si>
  <si>
    <t xml:space="preserve"> 5.3.3 </t>
  </si>
  <si>
    <t xml:space="preserve"> 5.3.3.1 </t>
  </si>
  <si>
    <t xml:space="preserve"> 5.3.3.2 </t>
  </si>
  <si>
    <t xml:space="preserve"> 5.4 </t>
  </si>
  <si>
    <t>VERGAS E CONTRA-VERGAS</t>
  </si>
  <si>
    <t xml:space="preserve"> 5.4.1 </t>
  </si>
  <si>
    <t xml:space="preserve"> 93187 </t>
  </si>
  <si>
    <t>VERGA MOLDADA IN LOCO EM CONCRETO PARA JANELAS COM MAIS DE 1,5 M DE VÃO. AF_03/2016</t>
  </si>
  <si>
    <t xml:space="preserve"> 5.4.2 </t>
  </si>
  <si>
    <t xml:space="preserve"> 93197 </t>
  </si>
  <si>
    <t>CONTRAVERGA MOLDADA IN LOCO EM CONCRETO PARA VÃOS DE MAIS DE 1,5 M DE COMPRIMENTO. AF_03/2016</t>
  </si>
  <si>
    <t xml:space="preserve"> 6 </t>
  </si>
  <si>
    <t>PAREDES E PAINEIS</t>
  </si>
  <si>
    <t xml:space="preserve"> 6.1 </t>
  </si>
  <si>
    <t>ALVENARIA - VEDAÇÃO</t>
  </si>
  <si>
    <t xml:space="preserve"> 6.1.1 </t>
  </si>
  <si>
    <t xml:space="preserve"> 87504 </t>
  </si>
  <si>
    <t>ALVENARIA DE VEDAÇÃO DE BLOCOS CERÂMICOS FURADOS NA HORIZONTAL DE 9X19X19CM (ESPESSURA 9CM) DE PAREDES COM ÁREA LÍQUIDA MAIOR OU IGUAL A 6M² SEM VÃOS E ARGAMASSA DE ASSENTAMENTO COM PREPARO MANUAL. AF_06/2014</t>
  </si>
  <si>
    <t xml:space="preserve"> 6.1.2 </t>
  </si>
  <si>
    <t xml:space="preserve"> 87493 </t>
  </si>
  <si>
    <t>ALVENARIA DE VEDAÇÃO DE BLOCOS CERÂMICOS FURADOS NA VERTICAL DE 19X19X39CM (ESPESSURA 19CM) DE PAREDES COM ÁREA LÍQUIDA MAIOR OU IGUAL A 6M² COM VÃOS E ARGAMASSA DE ASSENTAMENTO COM PREPARO EM BETONEIRA. AF_06/2014</t>
  </si>
  <si>
    <t xml:space="preserve"> 6.1.3 </t>
  </si>
  <si>
    <t xml:space="preserve"> 103323 </t>
  </si>
  <si>
    <t>ALVENARIA DE VEDAÇÃO DE BLOCOS CERÂMICOS FURADOS NA VERTICAL DE 9X19X39 CM (ESPESSURA 9 CM) E ARGAMASSA DE ASSENTAMENTO COM PREPARO MANUAL. AF_12/2021</t>
  </si>
  <si>
    <t xml:space="preserve"> 6.1.4 </t>
  </si>
  <si>
    <t xml:space="preserve"> 103329 </t>
  </si>
  <si>
    <t>ALVENARIA DE VEDAÇÃO DE BLOCOS CERÂMICOS FURADOS NA HORIZONTAL DE 9X19X19 CM (ESPESSURA 9 CM) E ARGAMASSA DE ASSENTAMENTO COM PREPARO MANUAL. AF_12/2021</t>
  </si>
  <si>
    <t xml:space="preserve"> 6.2 </t>
  </si>
  <si>
    <t>ALVENARIA - VEDAÇÃO - MURO</t>
  </si>
  <si>
    <t xml:space="preserve"> 6.2.1 </t>
  </si>
  <si>
    <t xml:space="preserve"> 7763 </t>
  </si>
  <si>
    <t>Gradil de ferro c/barra chata 2"x1/4" verticais espaç.10cm, montante em perfil seção quadrada de 1" vertical espaç.3 m, barras paralelas horizontais 2"x1/4", incl.portão, mureta h=30cm em alv.bloco e=19cm, chapiscada e rebocada, exclusive pintura</t>
  </si>
  <si>
    <t xml:space="preserve"> 6.2.2 </t>
  </si>
  <si>
    <t xml:space="preserve"> 090793 </t>
  </si>
  <si>
    <t>MURO H=2,5m-TIJOLO 10x20x20 10cm-CIM/SAIBRO/EMB./PVA-PILAR 3/3m</t>
  </si>
  <si>
    <t xml:space="preserve"> 7 </t>
  </si>
  <si>
    <t>REVESTIMENTO</t>
  </si>
  <si>
    <t xml:space="preserve"> 7.1 </t>
  </si>
  <si>
    <t>REVESTIMENTO INTERNO</t>
  </si>
  <si>
    <t xml:space="preserve"> 7.1.1 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</si>
  <si>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</si>
  <si>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</si>
  <si>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7.1.2 </t>
  </si>
  <si>
    <t xml:space="preserve"> 87273 </t>
  </si>
  <si>
    <t>REVESTIMENTO CERÂMICO PARA PAREDES INTERNAS COM PLACAS TIPO ESMALTADA EXTRA DE DIMENSÕES 33X45 CM APLICADAS EM AMBIENTES DE ÁREA MAIOR QUE 5 M² NA ALTURA INTEIRA DAS PAREDES. AF_06/2014</t>
  </si>
  <si>
    <t xml:space="preserve"> 7.1.3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</si>
  <si>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</si>
  <si>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</si>
  <si>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7.2 </t>
  </si>
  <si>
    <t>REVESTIMENTO EXTERNO</t>
  </si>
  <si>
    <t xml:space="preserve"> 7.2.1 </t>
  </si>
  <si>
    <t xml:space="preserve"> 7604 </t>
  </si>
  <si>
    <t>Revestimento cerâmico para parede, 10 x 10 cm, Tecnogres, linha Brilhante, ref. BR10060 ou similar, aplicado com argamassa industrializada ac-iii, rejuntado, exclusive regularização de base ou emboço - Rev 04</t>
  </si>
  <si>
    <t xml:space="preserve"> 7.2.2 </t>
  </si>
  <si>
    <t xml:space="preserve"> 11099 </t>
  </si>
  <si>
    <t>Revestimento metálico em alumínio composto (Alucobond ou similar) dobrado, e=0,3mm, na cor cobre, 1,00 nx 1,00m,  exclusive estrutura metálica - fornecimento e montagem - Obra do Centro de Convenções de Sergipe</t>
  </si>
  <si>
    <t xml:space="preserve"> 7.2.3 </t>
  </si>
  <si>
    <t xml:space="preserve"> COMP-835743 </t>
  </si>
  <si>
    <t>Estrutura metálica de suporte para ACM (m²)</t>
  </si>
  <si>
    <t xml:space="preserve"> 8 </t>
  </si>
  <si>
    <t>FORRO</t>
  </si>
  <si>
    <t xml:space="preserve"> 8.1 </t>
  </si>
  <si>
    <t>FORRO DE PVC</t>
  </si>
  <si>
    <t xml:space="preserve"> 8.1.1 </t>
  </si>
  <si>
    <t xml:space="preserve"> 5045 </t>
  </si>
  <si>
    <t>Forro de pvc,  em placas 1,25 x 0,625, cor branca ou palha, marca Medabil ou similar, inclusive estrutura de fixação (perfís), instalado</t>
  </si>
  <si>
    <t xml:space="preserve"> 9 </t>
  </si>
  <si>
    <t>ESQUADRIAS</t>
  </si>
  <si>
    <t xml:space="preserve"> 9.1 </t>
  </si>
  <si>
    <t>PORTAS</t>
  </si>
  <si>
    <t xml:space="preserve"> 9.1.1 </t>
  </si>
  <si>
    <t>PORTAS DE MADEIRA</t>
  </si>
  <si>
    <t xml:space="preserve"> 9.1.1.1 </t>
  </si>
  <si>
    <t xml:space="preserve"> 110691 </t>
  </si>
  <si>
    <t>PORTA COMPLETA MADEIRA 1 FL.0,80x2,10m-CORRER</t>
  </si>
  <si>
    <t xml:space="preserve"> 9.1.1.2 </t>
  </si>
  <si>
    <t xml:space="preserve"> 100675 </t>
  </si>
  <si>
    <t>KIT DE PORTA-PRONTA DE MADEIRA EM ACABAMENTO MELAMÍNICO BRANCO, FOLHA LEVE OU MÉDIA, 90X210, EXCLUSIVE FECHADURA, FIXAÇÃO COM PREENCHIMENTO TOTAL DE ESPUMA EXPANSIVA - FORNECIMENTO E INSTALAÇÃO. AF_12/2019</t>
  </si>
  <si>
    <t xml:space="preserve"> 9.1.1.3 </t>
  </si>
  <si>
    <t xml:space="preserve"> 90790 </t>
  </si>
  <si>
    <t>KIT DE PORTA-PRONTA DE MADEIRA EM ACABAMENTO MELAMÍNICO BRANCO, FOLHA LEVE OU MÉDIA, 80X210CM, EXCLUSIVE FECHADURA, FIXAÇÃO COM PREENCHIMENTO PARCIAL DE ESPUMA EXPANSIVA - FORNECIMENTO E INSTALAÇÃO. AF_12/2019</t>
  </si>
  <si>
    <t xml:space="preserve"> 9.1.1.4 </t>
  </si>
  <si>
    <t xml:space="preserve"> 90831 </t>
  </si>
  <si>
    <t>FECHADURA DE EMBUTIR PARA PORTA DE BANHEIRO, COMPLETA, ACABAMENTO PADRÃO MÉDIO, INCLUSO EXECUÇÃO DE FURO - FORNECIMENTO E INSTALAÇÃO. AF_12/2019</t>
  </si>
  <si>
    <t xml:space="preserve"> 9.1.1.5 </t>
  </si>
  <si>
    <t xml:space="preserve"> 91306 </t>
  </si>
  <si>
    <t>FECHADURA DE EMBUTIR PARA PORTAS INTERNAS, COMPLETA, ACABAMENTO PADRÃO MÉDIO, COM EXECUÇÃO DE FURO - FORNECIMENTO E INSTALAÇÃO. AF_12/2019</t>
  </si>
  <si>
    <t xml:space="preserve"> 9.1.2 </t>
  </si>
  <si>
    <t>PORTAS DE VIDRO</t>
  </si>
  <si>
    <t xml:space="preserve"> 9.1.2.1 </t>
  </si>
  <si>
    <t xml:space="preserve"> 102185 </t>
  </si>
  <si>
    <t>PORTA DE ABRIR COM MOLA HIDRÁULICA, EM VIDRO TEMPERADO, 2 FOLHAS DE 90X210 CM, ESPESSURA DD 10MM, INCLUSIVE ACESSÓRIOS. AF_01/2021</t>
  </si>
  <si>
    <t xml:space="preserve"> 9.1.2.2 </t>
  </si>
  <si>
    <t xml:space="preserve"> 102184 </t>
  </si>
  <si>
    <t>PORTA DE ABRIR COM MOLA HIDRÁULICA, EM VIDRO TEMPERADO, 90X210 CM, ESPESSURA 10 MM, INCLUSIVE ACESSÓRIOS. AF_01/2021</t>
  </si>
  <si>
    <t xml:space="preserve"> 9.1.2.3 </t>
  </si>
  <si>
    <t xml:space="preserve"> COMP-943753 </t>
  </si>
  <si>
    <t>CABINE ECLUSA DE VIDRO TEMPERADO 10mm, INCLUINDO PORTA</t>
  </si>
  <si>
    <t xml:space="preserve"> 9.1.3 </t>
  </si>
  <si>
    <t>PORTÃO DE ENROROLAR AUTOMATICO - TRANSVISION</t>
  </si>
  <si>
    <t xml:space="preserve"> 9.1.3.1 </t>
  </si>
  <si>
    <t xml:space="preserve"> 74136/003 </t>
  </si>
  <si>
    <t>PORTA DE ACO CHAPA 24, DE ENROLAR, RAIADA, LARGA COM ACABAMENTO GALVANIZADO NATURAL</t>
  </si>
  <si>
    <t xml:space="preserve"> 9.1.4 </t>
  </si>
  <si>
    <t>PORTAS DE ALUMINIO</t>
  </si>
  <si>
    <t xml:space="preserve"> 9.1.4.1 </t>
  </si>
  <si>
    <t xml:space="preserve"> 91341 </t>
  </si>
  <si>
    <t>PORTA EM ALUMÍNIO DE ABRIR TIPO VENEZIANA COM GUARNIÇÃO, FIXAÇÃO COM PARAFUSOS - FORNECIMENTO E INSTALAÇÃO. AF_12/2019</t>
  </si>
  <si>
    <t xml:space="preserve"> 9.2 </t>
  </si>
  <si>
    <t>JANELAS</t>
  </si>
  <si>
    <t xml:space="preserve"> 9.2.1 </t>
  </si>
  <si>
    <t>JANELAS DE ALUMINIO E VIDRO</t>
  </si>
  <si>
    <t xml:space="preserve"> 9.2.1.1 </t>
  </si>
  <si>
    <t xml:space="preserve"> COMP-807451 </t>
  </si>
  <si>
    <t>PAINEL DE VIDRO FIXO TEMPERADO 10MM, INCLUSIVE FERRAGEM, MONTAGEM E INSTALAÇÃO</t>
  </si>
  <si>
    <t>M²</t>
  </si>
  <si>
    <t xml:space="preserve"> 9.2.1.2 </t>
  </si>
  <si>
    <t xml:space="preserve"> 102163 </t>
  </si>
  <si>
    <t>INSTALAÇÃO DE VIDRO LISO FUME, E = 4 MM, EM ESQUADRIA DE ALUMÍNIO OU PVC, FIXADO COM BAGUETE. AF_01/2021_P</t>
  </si>
  <si>
    <t xml:space="preserve"> 9.2.1.3 </t>
  </si>
  <si>
    <t xml:space="preserve"> S00169 </t>
  </si>
  <si>
    <t>Cobogó de cimento, tipo "escama", dim: 50 x 50cm</t>
  </si>
  <si>
    <t xml:space="preserve"> 9.2.1.4 </t>
  </si>
  <si>
    <t xml:space="preserve"> 023387 </t>
  </si>
  <si>
    <t>FORNECIMENTO DE JANELA DE CORRER EM ALUMINIO NATURAL</t>
  </si>
  <si>
    <t xml:space="preserve"> 9.2.1.5 </t>
  </si>
  <si>
    <t xml:space="preserve"> 023390 </t>
  </si>
  <si>
    <t>FORNECIMENTO JANELA ALUMINIO MAXIM-AIR CONVENCIONAL</t>
  </si>
  <si>
    <t xml:space="preserve"> 9.3 </t>
  </si>
  <si>
    <t>GRADES</t>
  </si>
  <si>
    <t xml:space="preserve"> 9.3.1 </t>
  </si>
  <si>
    <t xml:space="preserve"> 023310 </t>
  </si>
  <si>
    <t>FORNECIMENTO E COLOCACAO GRADES DE FERRO EM JANELAS</t>
  </si>
  <si>
    <t xml:space="preserve"> 9.4 </t>
  </si>
  <si>
    <t>INSULFILM ANTI-VANDALISMO</t>
  </si>
  <si>
    <t xml:space="preserve"> 9.4.1 </t>
  </si>
  <si>
    <t xml:space="preserve"> COMP-648626 </t>
  </si>
  <si>
    <t>PELICULA ADESIVA APLICADA EM VIDROS-TIPO INSULFILM ANTI-VANDALISMO</t>
  </si>
  <si>
    <t xml:space="preserve"> 9.5 </t>
  </si>
  <si>
    <t>PERSIANAS</t>
  </si>
  <si>
    <t xml:space="preserve"> 9.5.1 </t>
  </si>
  <si>
    <t xml:space="preserve"> COMP-066495 </t>
  </si>
  <si>
    <t>Fornecimento e instalação de persianas de PVC texturizado, no modelo vertical, na cor Marfim, com lâminas de 9 cm de largura, acolhíveis e articuláveis para ambos os lados. Com movimento giratório em 180 graus, com trilho de alumínio anodizado, recolhimento das lâminas com corda nylon e corrente de polipropileno (para conexão inferior das lâminas) (m²)</t>
  </si>
  <si>
    <t xml:space="preserve"> 9.6 </t>
  </si>
  <si>
    <t>ESPELHOS</t>
  </si>
  <si>
    <t xml:space="preserve"> 9.6.1 </t>
  </si>
  <si>
    <t xml:space="preserve"> 190464 </t>
  </si>
  <si>
    <t>ESPELHO CRISTAL 4mm COM MOLDURA DE ALUMINIO</t>
  </si>
  <si>
    <t xml:space="preserve"> 10 </t>
  </si>
  <si>
    <t>SOLEIRAS E PEITORIS</t>
  </si>
  <si>
    <t xml:space="preserve"> 10.1 </t>
  </si>
  <si>
    <t>SOLEIRAS</t>
  </si>
  <si>
    <t xml:space="preserve"> 10.1.1 </t>
  </si>
  <si>
    <t xml:space="preserve"> 98689 </t>
  </si>
  <si>
    <t>SOLEIRA EM GRANITO, LARGURA 15 CM, ESPESSURA 2,0 CM. AF_09/2020</t>
  </si>
  <si>
    <t xml:space="preserve"> 10.2 </t>
  </si>
  <si>
    <t>PEITORIS</t>
  </si>
  <si>
    <t xml:space="preserve"> 10.2.1 </t>
  </si>
  <si>
    <t xml:space="preserve"> 101965 </t>
  </si>
  <si>
    <t>PEITORIL LINEAR EM GRANITO OU MÁRMORE, L = 15CM, COMPRIMENTO DE ATÉ 2M, ASSENTADO COM ARGAMASSA 1:6 COM ADITIVO. AF_11/2020</t>
  </si>
  <si>
    <t xml:space="preserve"> 10.3 </t>
  </si>
  <si>
    <t>BALCÃO DE ATENDIMENTO</t>
  </si>
  <si>
    <t xml:space="preserve"> 10.3.1 </t>
  </si>
  <si>
    <t xml:space="preserve"> 190404 </t>
  </si>
  <si>
    <t>BANCADA EM GRANITO PRETO SAO GABRIEL</t>
  </si>
  <si>
    <t xml:space="preserve"> 11 </t>
  </si>
  <si>
    <t>INSTALAÇÕES HIDRAULICAS</t>
  </si>
  <si>
    <t xml:space="preserve"> 11.1 </t>
  </si>
  <si>
    <t>REDES DE ALIMENTAÇÃO</t>
  </si>
  <si>
    <t xml:space="preserve"> 11.1.1 </t>
  </si>
  <si>
    <t xml:space="preserve"> 1134 </t>
  </si>
  <si>
    <t>Joelho 90º de pvc rígido soldável, marrom  diâm = 20mm</t>
  </si>
  <si>
    <t xml:space="preserve"> 11.1.2 </t>
  </si>
  <si>
    <t xml:space="preserve"> 89401 </t>
  </si>
  <si>
    <t>TUBO, PVC, SOLDÁVEL, DN 20MM, INSTALADO EM RAMAL DE DISTRIBUIÇÃO DE ÁGUA - FORNECIMENTO E INSTALAÇÃO. AF_06/2022</t>
  </si>
  <si>
    <t xml:space="preserve"> 11.1.3 </t>
  </si>
  <si>
    <t xml:space="preserve"> 89404 </t>
  </si>
  <si>
    <t>JOELHO 90 GRAUS, PVC, SOLDÁVEL, DN 20MM, INSTALADO EM RAMAL DE DISTRIBUIÇÃO DE ÁGUA - FORNECIMENTO E INSTALAÇÃO. AF_06/2022</t>
  </si>
  <si>
    <t xml:space="preserve"> 11.1.4 </t>
  </si>
  <si>
    <t xml:space="preserve"> 89438 </t>
  </si>
  <si>
    <t>TE, PVC, SOLDÁVEL, DN 20MM, INSTALADO EM RAMAL DE DISTRIBUIÇÃO DE ÁGUA - FORNECIMENTO E INSTALAÇÃO. AF_06/2022</t>
  </si>
  <si>
    <t xml:space="preserve"> 11.1.5 </t>
  </si>
  <si>
    <t xml:space="preserve"> 052951 </t>
  </si>
  <si>
    <t>CAIXA D'AGUA EM POLIETILENO 1500 LITROS COM TAMPA</t>
  </si>
  <si>
    <t xml:space="preserve"> 11.1.6 </t>
  </si>
  <si>
    <t xml:space="preserve"> 102137 </t>
  </si>
  <si>
    <t>CHAVE DE BOIA AUTOMÁTICA SUPERIOR/INFERIOR 15A/250V - FORNECIMENTO E INSTALAÇÃO. AF_12/2020</t>
  </si>
  <si>
    <t xml:space="preserve"> 11.1.7 </t>
  </si>
  <si>
    <t xml:space="preserve"> 00011825 </t>
  </si>
  <si>
    <t>TORNEIRA DE BOIA CONVENCIONAL PARA CAIXA D'AGUA, 1", AGUA FRIA, COM HASTE E TORNEIRA METALICOS E BALAO PLASTICO</t>
  </si>
  <si>
    <t xml:space="preserve"> 11.1.8 </t>
  </si>
  <si>
    <t xml:space="preserve"> 00011676 </t>
  </si>
  <si>
    <t>REGISTRO DE ESFERA, PVC, COM VOLANTE, VS, SOLDAVEL, DN 40 MM, COM CORPO DIVIDIDO</t>
  </si>
  <si>
    <t xml:space="preserve"> 11.2 </t>
  </si>
  <si>
    <t>REDE DE DISTRIBUIÇÃO</t>
  </si>
  <si>
    <t xml:space="preserve"> 11.2.1 </t>
  </si>
  <si>
    <t xml:space="preserve"> 1050 </t>
  </si>
  <si>
    <t>Adaptador de pvc rígido soldável c/ flanges livres p/ caixa de água diâm = 40mm x 11/4"</t>
  </si>
  <si>
    <t xml:space="preserve"> 11.2.2 </t>
  </si>
  <si>
    <t xml:space="preserve"> 1080 </t>
  </si>
  <si>
    <t>Bucha de redução longa de pvc rígido soldável, marrom, diâm = 40 x 20mm</t>
  </si>
  <si>
    <t xml:space="preserve"> 11.2.3 </t>
  </si>
  <si>
    <t xml:space="preserve"> 89497 </t>
  </si>
  <si>
    <t>JOELHO 90 GRAUS, PVC, SOLDÁVEL, DN 40MM, INSTALADO EM PRUMADA DE ÁGUA - FORNECIMENTO E INSTALAÇÃO. AF_06/2022</t>
  </si>
  <si>
    <t xml:space="preserve"> 11.2.4 </t>
  </si>
  <si>
    <t xml:space="preserve"> 1030 </t>
  </si>
  <si>
    <t>Tubo pvc rígido soldável marrom p/ água, d = 40 mm (1 1/4")</t>
  </si>
  <si>
    <t>m</t>
  </si>
  <si>
    <t xml:space="preserve"> 11.2.5 </t>
  </si>
  <si>
    <t xml:space="preserve"> 1028 </t>
  </si>
  <si>
    <t>Tubo pvc rígido soldável marrom p/ água, d = 25 mm (3/4")</t>
  </si>
  <si>
    <t xml:space="preserve"> 11.2.6 </t>
  </si>
  <si>
    <t xml:space="preserve"> 94489 </t>
  </si>
  <si>
    <t>REGISTRO DE ESFERA, PVC, SOLDÁVEL, COM VOLANTE, DN  25 MM - FORNECIMENTO E INSTALAÇÃO. AF_08/2021</t>
  </si>
  <si>
    <t xml:space="preserve"> 11.2.7 </t>
  </si>
  <si>
    <t xml:space="preserve"> 89957 </t>
  </si>
  <si>
    <t>PONTO DE CONSUMO TERMINAL DE ÁGUA FRIA (SUBRAMAL) COM TUBULAÇÃO DE PVC, DN 25 MM, INSTALADO EM RAMAL DE ÁGUA, INCLUSOS RASGO E CHUMBAMENTO EM ALVENARIA. AF_12/2014</t>
  </si>
  <si>
    <t xml:space="preserve"> 11.2.8 </t>
  </si>
  <si>
    <t xml:space="preserve"> 89383 </t>
  </si>
  <si>
    <t>ADAPTADOR CURTO COM BOLSA E ROSCA PARA REGISTRO, PVC, SOLDÁVEL, DN 25MM X 3/4 , INSTALADO EM RAMAL OU SUB-RAMAL DE ÁGUA - FORNECIMENTO E INSTALAÇÃO. AF_06/2022</t>
  </si>
  <si>
    <t xml:space="preserve"> 11.3 </t>
  </si>
  <si>
    <t>EQUIPAMENTOS (FORNECIMENTO E INSTALAÇÃO)</t>
  </si>
  <si>
    <t xml:space="preserve"> 11.3.1 </t>
  </si>
  <si>
    <t xml:space="preserve"> COMP-505544 </t>
  </si>
  <si>
    <t>Sistema de reuso de água da chuva</t>
  </si>
  <si>
    <t xml:space="preserve"> 11.3.2 </t>
  </si>
  <si>
    <t xml:space="preserve"> 102128 </t>
  </si>
  <si>
    <t>MOTO BOMBA SUBMERSÍVEL ATÉ 10 CV, HM 21 M - FORNECIMENTO E INSTALAÇÃO. AF_12/2020</t>
  </si>
  <si>
    <t xml:space="preserve"> 12 </t>
  </si>
  <si>
    <t>INSTALAÇÕES SANITÁRIAS</t>
  </si>
  <si>
    <t xml:space="preserve"> 12.1 </t>
  </si>
  <si>
    <t>REDE DE ESGOTO SANITÁRIO</t>
  </si>
  <si>
    <t xml:space="preserve"> 12.1.1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</si>
  <si>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</si>
  <si>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</si>
  <si>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12.1.2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</si>
  <si>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</si>
  <si>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</si>
  <si>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12.1.3 </t>
  </si>
  <si>
    <t xml:space="preserve"> 89801 </t>
  </si>
  <si>
    <t>JOELHO 90 GRAUS, PVC, SERIE NORMAL, ESGOTO PREDIAL, DN 50 MM, JUNTA ELÁSTICA, FORNECIDO E INSTALADO EM PRUMADA DE ESGOTO SANITÁRIO OU VENTILAÇÃO. AF_08/2022</t>
  </si>
  <si>
    <t xml:space="preserve"> 12.1.4 </t>
  </si>
  <si>
    <t xml:space="preserve"> 89785 </t>
  </si>
  <si>
    <t>JUNÇÃO SIMPLES, PVC, SERIE NORMAL, ESGOTO PREDIAL, DN 50 X 50 MM, JUNTA ELÁSTICA, FORNECIDO E INSTALADO EM RAMAL DE DESCARGA OU RAMAL DE ESGOTO SANITÁRIO. AF_08/2022</t>
  </si>
  <si>
    <t xml:space="preserve"> 12.1.5 </t>
  </si>
  <si>
    <t xml:space="preserve"> 4280 </t>
  </si>
  <si>
    <t>Caixa sifonada em pvc,100x150x50mm, acabamento branco, c/grelha e porta grelha</t>
  </si>
  <si>
    <t xml:space="preserve"> 12.1.6 </t>
  </si>
  <si>
    <t xml:space="preserve"> 1666 </t>
  </si>
  <si>
    <t>Terminal de ventilação em pvc rígido c/ anéis, para esgoto primário, diâm = 50mm</t>
  </si>
  <si>
    <t xml:space="preserve"> 12.1.7 </t>
  </si>
  <si>
    <t xml:space="preserve"> 1595 </t>
  </si>
  <si>
    <t>Vedação para saída de vaso sanitário em  pvc rígido soldável, para esgoto primário, diâm = 100mm</t>
  </si>
  <si>
    <t xml:space="preserve"> 12.1.8 </t>
  </si>
  <si>
    <t xml:space="preserve"> 2014 </t>
  </si>
  <si>
    <t>Sifão cromado para lavatório, DECA ref.1680C 1 x 1 1/2 ou similar un</t>
  </si>
  <si>
    <t xml:space="preserve"> 12.1.9 </t>
  </si>
  <si>
    <t xml:space="preserve"> 91792 </t>
  </si>
  <si>
    <t>(COMPOSIÇÃO REPRESENTATIVA) DO SERVIÇO DE INSTALAÇÃO DE TUBO DE PVC, SÉRIE NORMAL, ESGOTO PREDIAL, DN 40 MM (INSTALADO EM RAMAL DE DESCARGA OU RAMAL DE ESGOTO SANITÁRIO), INCLUSIVE CONEXÕES, CORTES E FIXAÇÕES, PARA PRÉDIOS. AF_10/2015</t>
  </si>
  <si>
    <t xml:space="preserve"> 12.1.10 </t>
  </si>
  <si>
    <t xml:space="preserve"> 91793 </t>
  </si>
  <si>
    <t>(COMPOSIÇÃO REPRESENTATIVA) DO SERVIÇO DE INSTALAÇÃO DE TUBO DE PVC, SÉRIE NORMAL, ESGOTO PREDIAL, DN 50 MM (INSTALADO EM RAMAL DE DESCARGA OU RAMAL DE ESGOTO SANITÁRIO), INCLUSIVE CONEXÕES, CORTES E FIXAÇÕES PARA, PRÉDIOS. AF_10/2015</t>
  </si>
  <si>
    <t xml:space="preserve"> 12.1.11 </t>
  </si>
  <si>
    <t xml:space="preserve"> 12.1.12 </t>
  </si>
  <si>
    <t xml:space="preserve"> 89834 </t>
  </si>
  <si>
    <t>JUNÇÃO SIMPLES, PVC, SERIE NORMAL, ESGOTO PREDIAL, DN 100 X 100 MM, JUNTA ELÁSTICA, FORNECIDO E INSTALADO EM PRUMADA DE ESGOTO SANITÁRIO OU VENTILAÇÃO. AF_08/2022</t>
  </si>
  <si>
    <t xml:space="preserve"> 12.1.13 </t>
  </si>
  <si>
    <t xml:space="preserve"> 4883 </t>
  </si>
  <si>
    <t>Caixa de inspeção  0.60 x 0.60 x 0.60m</t>
  </si>
  <si>
    <t xml:space="preserve"> 12.1.14 </t>
  </si>
  <si>
    <t xml:space="preserve"> 98110 </t>
  </si>
  <si>
    <t>CAIXA DE GORDURA PEQUENA (CAPACIDADE: 19 L), CIRCULAR, EM PVC, DIÂMETRO INTERNO= 0,3 M. AF_12/2020</t>
  </si>
  <si>
    <t xml:space="preserve"> 12.1.15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</si>
  <si>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</si>
  <si>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</si>
  <si>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12.1.16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</si>
  <si>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</si>
  <si>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</si>
  <si>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12.1.17 </t>
  </si>
  <si>
    <t xml:space="preserve"> 89779 </t>
  </si>
  <si>
    <t>LUVA DE CORRER, PVC, SERIE NORMAL, ESGOTO PREDIAL, DN 100 MM, JUNTA ELÁSTICA, FORNECIDO E INSTALADO EM RAMAL DE DESCARGA OU RAMAL DE ESGOTO SANITÁRIO. AF_08/2022</t>
  </si>
  <si>
    <t xml:space="preserve"> 12.1.18 </t>
  </si>
  <si>
    <t xml:space="preserve"> 89754 </t>
  </si>
  <si>
    <t>LUVA DE CORRER, PVC, SERIE NORMAL, ESGOTO PREDIAL, DN 50 MM, JUNTA ELÁSTICA, FORNECIDO E INSTALADO EM RAMAL DE DESCARGA OU RAMAL DE ESGOTO SANITÁRIO. AF_08/2022</t>
  </si>
  <si>
    <t xml:space="preserve"> 12.1.19 </t>
  </si>
  <si>
    <t xml:space="preserve"> 12.1.20 </t>
  </si>
  <si>
    <t xml:space="preserve"> 89709 </t>
  </si>
  <si>
    <t>RALO SIFONADO, PVC, DN 100 X 40 MM, JUNTA SOLDÁVEL, FORNECIDO E INSTALADO EM RAMAL DE DESCARGA OU EM RAMAL DE ESGOTO SANITÁRIO. AF_08/2022</t>
  </si>
  <si>
    <t xml:space="preserve"> 12.2 </t>
  </si>
  <si>
    <t>REDE DE ESGOTO (FOSSA E SUMIDORO)</t>
  </si>
  <si>
    <t xml:space="preserve"> 12.2.1 </t>
  </si>
  <si>
    <t xml:space="preserve"> 00039362 </t>
  </si>
  <si>
    <t>FOSSA SEPTICA, SEM FILTRO, PARA 8 A 14 CONTRIBUINTES, CILINDRICA, COM TAMPA, EM POLIETILENO DE ALTA DENSIDADE (PEAD), CAPACIDADE APROXIMADA DE 3000 LITROS (NBR 7229)</t>
  </si>
  <si>
    <t xml:space="preserve"> 12.2.2 </t>
  </si>
  <si>
    <t xml:space="preserve"> 00039367 </t>
  </si>
  <si>
    <t>FILTRO ANAEROBIO, EM POLIETILENO DE ALTA DENSIDADE (PEAD), CAPACIDADE *5000* LITROS (NBR 13969)</t>
  </si>
  <si>
    <t xml:space="preserve"> 12.2.3 </t>
  </si>
  <si>
    <t xml:space="preserve"> COMP-597467 </t>
  </si>
  <si>
    <t>CAIXA DE INSPEÇÃO EM CONCRETO PRÉ-MOLDADO DN 60CM COM TAMPA H= 60CM - FORNECIMENTO E INSTALAÇÃO</t>
  </si>
  <si>
    <t xml:space="preserve"> 13 </t>
  </si>
  <si>
    <t>APARELHOS E METAIS</t>
  </si>
  <si>
    <t xml:space="preserve"> 13.1 </t>
  </si>
  <si>
    <t>APARELHOS</t>
  </si>
  <si>
    <t xml:space="preserve"> 13.1.1 </t>
  </si>
  <si>
    <t xml:space="preserve"> 95471 </t>
  </si>
  <si>
    <t>VASO SANITARIO SIFONADO CONVENCIONAL PARA PCD SEM FURO FRONTAL COM  LOUÇA BRANCA SEM ASSENTO -  FORNECIMENTO E INSTALAÇÃO. AF_01/2020</t>
  </si>
  <si>
    <t xml:space="preserve"> 13.1.2 </t>
  </si>
  <si>
    <t xml:space="preserve"> 95469 </t>
  </si>
  <si>
    <t>VASO SANITARIO SIFONADO CONVENCIONAL COM  LOUÇA BRANCA - FORNECIMENTO E INSTALAÇÃO. AF_01/2020</t>
  </si>
  <si>
    <t xml:space="preserve"> 13.1.3 </t>
  </si>
  <si>
    <t xml:space="preserve"> 93441 </t>
  </si>
  <si>
    <t>BANCADA GRANITO CINZA  150 X 60 CM, COM CUBA DE EMBUTIR DE AÇO, VÁLVULA AMERICANA EM METAL, SIFÃO FLEXÍVEL EM PVC, ENGATE FLEXÍVEL 30 CM, TORNEIRA CROMADA LONGA, DE PAREDE, 1/2 OU 3/4, P/ COZINHA, PADRÃO POPULAR - FORNEC. E INSTALAÇÃO. AF_01/2020</t>
  </si>
  <si>
    <t xml:space="preserve"> 13.1.4 </t>
  </si>
  <si>
    <t xml:space="preserve"> COMP-049177 </t>
  </si>
  <si>
    <t>BANCADA DE GRANITO COM CUBA DE SEMI ENCAIXE E ACESSÓRIOS</t>
  </si>
  <si>
    <t xml:space="preserve"> 13.1.5 </t>
  </si>
  <si>
    <t xml:space="preserve"> COMP-620239 </t>
  </si>
  <si>
    <t>LAVATÓRIO LOUÇA BRANCA SUSPENSO, *45 X *35CM OU EQUIVALENTE, PARA BANHEIRO PNE, INCLUSO SIFÃO TIPO GARRAFA EM PVC, VÁLVULA E ENGATE FLEXÍVEL 30CM EM PLÁSTICO E TORNEIRA CROMADA DE MESA, PADRÃO POPULAR - FORNECIMENTO E INSTALAÇÃO</t>
  </si>
  <si>
    <t xml:space="preserve"> 13.1.6 </t>
  </si>
  <si>
    <t xml:space="preserve"> 86889 </t>
  </si>
  <si>
    <t>BANCADA DE GRANITO CINZA POLIDO, DE 1,50 X 0,60 M, PARA PIA DE COZINHA - FORNECIMENTO E INSTALAÇÃO. AF_01/2020</t>
  </si>
  <si>
    <t xml:space="preserve"> 13.2 </t>
  </si>
  <si>
    <t>METAIS</t>
  </si>
  <si>
    <t xml:space="preserve"> 13.2.1 </t>
  </si>
  <si>
    <t xml:space="preserve"> 89987 </t>
  </si>
  <si>
    <t>REGISTRO DE GAVETA BRUTO, LATÃO, ROSCÁVEL, 3/4", COM ACABAMENTO E CANOPLA CROMADOS - FORNECIMENTO E INSTALAÇÃO. AF_08/2021</t>
  </si>
  <si>
    <t xml:space="preserve"> 13.2.2 </t>
  </si>
  <si>
    <t xml:space="preserve"> COMP-678754 </t>
  </si>
  <si>
    <t>Kit de acessórios para banheiros</t>
  </si>
  <si>
    <t xml:space="preserve"> 13.2.3 </t>
  </si>
  <si>
    <t xml:space="preserve"> COMP-218015 </t>
  </si>
  <si>
    <t>Conjunto Acessórios para Banheiro PNE</t>
  </si>
  <si>
    <t xml:space="preserve"> 14 </t>
  </si>
  <si>
    <t>INSTALAÇÕES ELÉTRICAS</t>
  </si>
  <si>
    <t xml:space="preserve"> 14.1 </t>
  </si>
  <si>
    <t>REDE ELÉTRICA</t>
  </si>
  <si>
    <t xml:space="preserve"> 14.1.1 </t>
  </si>
  <si>
    <t xml:space="preserve"> 93137 </t>
  </si>
  <si>
    <t>PONTO DE ILUMINAÇÃO RESIDENCIAL INCLUINDO INTERRUPTOR SIMPLES (2 MÓDULOS), CAIXA ELÉTRICA, ELETRODUTO, CABO, RASGO, QUEBRA E CHUMBAMENTO (EXCLUINDO LUMINÁRIA E LÂMPADA). AF_01/2016</t>
  </si>
  <si>
    <t xml:space="preserve"> 14.1.2 </t>
  </si>
  <si>
    <t xml:space="preserve"> 93142 </t>
  </si>
  <si>
    <t>PONTO DE TOMADA RESIDENCIAL INCLUINDO TOMADA (2 MÓDULOS) 10A/250V, CAIXA ELÉTRICA, ELETRODUTO, CABO, RASGO, QUEBRA E CHUMBAMENTO. AF_01/2016</t>
  </si>
  <si>
    <t xml:space="preserve"> 14.1.3 </t>
  </si>
  <si>
    <t xml:space="preserve"> 93143 </t>
  </si>
  <si>
    <t>PONTO DE TOMADA RESIDENCIAL INCLUINDO TOMADA 20A/250V, CAIXA ELÉTRICA, ELETRODUTO, CABO, RASGO, QUEBRA E CHUMBAMENTO. AF_01/2016</t>
  </si>
  <si>
    <t xml:space="preserve"> 14.1.4 </t>
  </si>
  <si>
    <t xml:space="preserve"> 11138 </t>
  </si>
  <si>
    <t>Entrada de energia elétrica trifásica demanda entre 26,6 e 38,1 kw - Rev 01</t>
  </si>
  <si>
    <t xml:space="preserve"> 14.1.5 </t>
  </si>
  <si>
    <t xml:space="preserve"> 83463 </t>
  </si>
  <si>
    <t>QUADRO DE DISTRIBUICAO DE ENERGIA EM CHAPA DE ACO GALVANIZADO, PARA 12 DISJUNTORES TERMOMAGNETICOS MONOPOLARES, COM BARRAMENTO TRIFASICO E NEUTRO - FORNECIMENTO E INSTALACAO</t>
  </si>
  <si>
    <t xml:space="preserve"> 14.1.6 </t>
  </si>
  <si>
    <t xml:space="preserve"> S11301 </t>
  </si>
  <si>
    <t>Luminária em LED slim p/ iluminação púb,03 petalas,50W,lentes policarbonato,corpo alumínio,pint.anti-incrustantes, grau de prot. IP67, IK09,temp-cor 5000°K, IRC =&gt;70%,v.útil 50.000 h,linha Street-Light (PICO-LE- LMSL-80), com poste de aço e base de concreto.</t>
  </si>
  <si>
    <t xml:space="preserve"> 14.1.7 </t>
  </si>
  <si>
    <t xml:space="preserve"> CP-7504-COMP-385492 </t>
  </si>
  <si>
    <t>Alimentação quadro de entrada (95F + 70T)</t>
  </si>
  <si>
    <t xml:space="preserve"> 14.1.8 </t>
  </si>
  <si>
    <t xml:space="preserve"> 060637 </t>
  </si>
  <si>
    <t>ARANDELA 5 VIDROS EXTERNA MURO PAREDE ALUMINIO BRANCO+PAR 20</t>
  </si>
  <si>
    <t xml:space="preserve"> 14.1.9 </t>
  </si>
  <si>
    <t xml:space="preserve"> COMP-405043 </t>
  </si>
  <si>
    <t>Refletor LED de 150w</t>
  </si>
  <si>
    <t xml:space="preserve"> 14.1.10 </t>
  </si>
  <si>
    <t xml:space="preserve"> COMP-194107 </t>
  </si>
  <si>
    <t>Luminária a LED tipo plafon 60x60cm 48w. Completa, com driver multitensão (100-250V) integrados à luminária. 30.000h de uso.</t>
  </si>
  <si>
    <t>Un</t>
  </si>
  <si>
    <t xml:space="preserve"> 14.1.11 </t>
  </si>
  <si>
    <t xml:space="preserve"> CP-9013-COMP-194107 </t>
  </si>
  <si>
    <t>Luminária a LED tipo plafon 30x60cm 48w. Completa, com driver multitensão (100-250V) integrados à luminária. 30.000h de uso</t>
  </si>
  <si>
    <t xml:space="preserve"> 14.1.12 </t>
  </si>
  <si>
    <t xml:space="preserve"> COMP-488982 </t>
  </si>
  <si>
    <t>Luminária a LED tipo plafon 30x30cm 36w. Completa, com driver multitensão (100-250V) integrados à luminária. 30.000h de uso. (Un)</t>
  </si>
  <si>
    <t xml:space="preserve"> 14.1.13 </t>
  </si>
  <si>
    <t xml:space="preserve"> COMP-38937570 </t>
  </si>
  <si>
    <t>CAIXA DE PASSAGEM 30X30X40 COM TAMPA E DRENO BRITA</t>
  </si>
  <si>
    <t xml:space="preserve"> 14.1.14 </t>
  </si>
  <si>
    <t xml:space="preserve"> 92016 </t>
  </si>
  <si>
    <t>TOMADA BAIXA DE EMBUTIR (3 MÓDULOS), 2P+T 10 A, INCLUINDO SUPORTE E PLACA - FORNECIMENTO E INSTALAÇÃO. AF_12/2015</t>
  </si>
  <si>
    <t xml:space="preserve"> 14.1.15 </t>
  </si>
  <si>
    <t xml:space="preserve"> 00038094 </t>
  </si>
  <si>
    <t>ESPELHO / PLACA DE 3 POSTOS 4" X 2", PARA INSTALACAO DE TOMADAS E INTERRUPTORES</t>
  </si>
  <si>
    <t xml:space="preserve"> 14.1.16 </t>
  </si>
  <si>
    <t xml:space="preserve"> 101632 </t>
  </si>
  <si>
    <t>RELÉ FOTOELÉTRICO PARA COMANDO DE ILUMINAÇÃO EXTERNA 1000 W - FORNECIMENTO E INSTALAÇÃO. AF_08/2020</t>
  </si>
  <si>
    <t xml:space="preserve"> 14.2 </t>
  </si>
  <si>
    <t>REDE LÓGICA DE DADOS E VOZ CFTV E TV SOM</t>
  </si>
  <si>
    <t xml:space="preserve"> 14.2.1 </t>
  </si>
  <si>
    <t xml:space="preserve"> COMP-849515 </t>
  </si>
  <si>
    <t>ENTRADA REDE DE FIBRA INFORMATICA</t>
  </si>
  <si>
    <t xml:space="preserve"> 14.2.2 </t>
  </si>
  <si>
    <t xml:space="preserve"> 059455 </t>
  </si>
  <si>
    <t>PONTO DE REDE - INCLUINDO RASGO, QUEBRA, CHUMBAMENTO, ELETRODUTO, CABO, CX 2" x 4" + 2 TOMADAS RJ-45 KEYSTONE E CERTIFICAÇÃO DO PONTO COM EMISSÃO DE RELATÓRIO</t>
  </si>
  <si>
    <t xml:space="preserve"> 14.3 </t>
  </si>
  <si>
    <t>SISTEMA DE PROTEÇÃO (ATERRAMENTO)</t>
  </si>
  <si>
    <t xml:space="preserve"> 14.3.1 </t>
  </si>
  <si>
    <t xml:space="preserve"> COMP-747559 </t>
  </si>
  <si>
    <t>Rede de aterramento e SPDA integrado unidade 1 promotorias</t>
  </si>
  <si>
    <t xml:space="preserve"> 14.4 </t>
  </si>
  <si>
    <t>MAQUINAS E EQUIPAMENTOS</t>
  </si>
  <si>
    <t xml:space="preserve"> 14.4.1 </t>
  </si>
  <si>
    <t>EQUIPAMENTOS LOGICA E TELEFONIA</t>
  </si>
  <si>
    <t xml:space="preserve"> 14.4.1.1 </t>
  </si>
  <si>
    <t xml:space="preserve"> COMP-504603 </t>
  </si>
  <si>
    <t>Switch Hp 24 Portas 1920s-48g Jl386a 10/100/1000 4sfp Poe</t>
  </si>
  <si>
    <t xml:space="preserve"> 14.4.1.2 </t>
  </si>
  <si>
    <t xml:space="preserve"> COMP-945137 </t>
  </si>
  <si>
    <t>Nobreak 1.5Kva Apc Smc1500I2U-Br Lcd Mono 230V para Rack</t>
  </si>
  <si>
    <t xml:space="preserve"> 14.4.1.3 </t>
  </si>
  <si>
    <t xml:space="preserve"> 058894 </t>
  </si>
  <si>
    <t>ACCESS POINT WIRELESS TP-LINK AC1750 DUAL BAND EAP245</t>
  </si>
  <si>
    <t xml:space="preserve"> 14.4.1.4 </t>
  </si>
  <si>
    <t xml:space="preserve"> 8493 </t>
  </si>
  <si>
    <t>Fornecimento e instalação de MINI rack SUSPENÇO inclusive acessórios</t>
  </si>
  <si>
    <t xml:space="preserve"> 14.4.2 </t>
  </si>
  <si>
    <t>SEGURANÇA (INFRA-ESTRUTURA E EQUIPAMENTOS)</t>
  </si>
  <si>
    <t xml:space="preserve"> 14.4.2.1 </t>
  </si>
  <si>
    <t xml:space="preserve"> MPAM-INFO002 </t>
  </si>
  <si>
    <t>Fornecimento e instalação de sistema CFTV 32 Canais, incluindo Câmeras, Monitores,HD 2T, Cx. de passagens, Eletroduto, Cabos, Conectores, Rasgo, Quebra e Chumbamento.</t>
  </si>
  <si>
    <t xml:space="preserve"> 14.4.2.2 </t>
  </si>
  <si>
    <t xml:space="preserve"> COMP-058422 </t>
  </si>
  <si>
    <t>Porta detectora de metais - fornecimento e instalação</t>
  </si>
  <si>
    <t xml:space="preserve"> 14.4.2.3 </t>
  </si>
  <si>
    <t xml:space="preserve"> 00034348 </t>
  </si>
  <si>
    <t>CONCERTINA CLIPADA (DUPLA) EM ACO GALVANIZADO DE ALTA RESISTENCIA, COM ESPIRAL DE 300 MM, D = 2,76 MM</t>
  </si>
  <si>
    <t xml:space="preserve"> 14.4.3 </t>
  </si>
  <si>
    <t>ENERGIA AUXILIAR</t>
  </si>
  <si>
    <t xml:space="preserve"> 14.4.3.1 </t>
  </si>
  <si>
    <t xml:space="preserve"> COMP-318779 </t>
  </si>
  <si>
    <t>Gerador de energia Solar Grid-tie para conexão a rede pública (140~160kWh/mês)</t>
  </si>
  <si>
    <t xml:space="preserve"> 14.4.4 </t>
  </si>
  <si>
    <t>SISTEMA DE REFRIGERAÇÃO/EQUIPAMENTOS</t>
  </si>
  <si>
    <t xml:space="preserve"> 14.4.4.1 </t>
  </si>
  <si>
    <t xml:space="preserve"> 00043190 </t>
  </si>
  <si>
    <t>AR CONDICIONADO SPLIT ON/OFF, HI-WALL (PAREDE), 12000 BTUS/H, CICLO FRIO, 60 HZ, CLASSIFICACAO ENERGETICA A - SELO PROCEL, GAS HFC, CONTROLE S/ FIO</t>
  </si>
  <si>
    <t xml:space="preserve"> 14.4.4.2 </t>
  </si>
  <si>
    <t xml:space="preserve"> 00043194 </t>
  </si>
  <si>
    <t>AR CONDICIONADO SPLIT ON/OFF, HI-WALL (PAREDE), 9000 BTUS/H, CICLO FRIO, 60 HZ, CLASSIFICACAO ENERGETICA A - SELO PROCEL, GAS HFC, CONTROLE S/ FIO</t>
  </si>
  <si>
    <t xml:space="preserve"> 14.4.4.3 </t>
  </si>
  <si>
    <t xml:space="preserve"> 00043191 </t>
  </si>
  <si>
    <t>AR CONDICIONADO SPLIT ON/OFF, HI-WALL (PAREDE), 18000 BTUS/H, CICLO FRIO, 60 HZ, CLASSIFICACAO ENERGETICA A - SELO PROCEL, GAS HFC, CONTROLE S/ FIO</t>
  </si>
  <si>
    <t xml:space="preserve"> 14.4.4.4 </t>
  </si>
  <si>
    <t xml:space="preserve"> COMP-776639 </t>
  </si>
  <si>
    <t>FORNECIMENTO E INSTALAÇÃO DE AR CONDICIONADO TIPO SPLIT 12.000 BTU'S INVERTER</t>
  </si>
  <si>
    <t xml:space="preserve"> 14.4.4.5 </t>
  </si>
  <si>
    <t xml:space="preserve"> COMP-648163 </t>
  </si>
  <si>
    <t>FORNECIMENTO E INSTALAÇÃO DE AR CONDICIONADO TIPO SPLIT 18.000 BTU</t>
  </si>
  <si>
    <t xml:space="preserve"> 15 </t>
  </si>
  <si>
    <t>INSTALAÇÕES DE COMBATE A INCÊNDIO</t>
  </si>
  <si>
    <t xml:space="preserve"> 15.1 </t>
  </si>
  <si>
    <t>ACESSORIOS E EQUIPAMENTOS PARA INCENDIO</t>
  </si>
  <si>
    <t xml:space="preserve"> 15.1.1 </t>
  </si>
  <si>
    <t xml:space="preserve"> 11853 </t>
  </si>
  <si>
    <t>Placa de sinalizacao de seguranca contra incendio, fotoluminescente, retangular, *20 x 40* cm, em pvc *2* mm anti-chamas (simbolos, cores e pictogramas conforme nbr 13434)</t>
  </si>
  <si>
    <t xml:space="preserve"> 15.1.2 </t>
  </si>
  <si>
    <t xml:space="preserve"> 11558 </t>
  </si>
  <si>
    <t>Fita de demarcação PVC 15mmx50m - (amarela, vermelha, branca, preta, etc.) m</t>
  </si>
  <si>
    <t xml:space="preserve"> 15.1.3 </t>
  </si>
  <si>
    <t xml:space="preserve"> 00010886 </t>
  </si>
  <si>
    <t>EXTINTOR DE INCENDIO PORTATIL COM CARGA DE AGUA PRESSURIZADA DE 10 L, CLASSE A</t>
  </si>
  <si>
    <t xml:space="preserve"> 15.1.4 </t>
  </si>
  <si>
    <t xml:space="preserve"> 00010889 </t>
  </si>
  <si>
    <t>EXTINTOR DE INCENDIO PORTATIL COM CARGA DE GAS CARBONICO CO2 DE 6 KG, CLASSE BC</t>
  </si>
  <si>
    <t xml:space="preserve"> 15.1.5 </t>
  </si>
  <si>
    <t xml:space="preserve"> MPAM - INC - 001 </t>
  </si>
  <si>
    <t>SUPORTE DE PAREDE PARA EXTINTOR</t>
  </si>
  <si>
    <t xml:space="preserve"> 15.1.6 </t>
  </si>
  <si>
    <t xml:space="preserve"> 060062 </t>
  </si>
  <si>
    <t>LUMINARIA DE EMERGENCIA 2XLED 1200 BATERIA SELADA SEGURIMAX</t>
  </si>
  <si>
    <t xml:space="preserve"> 15.1.7 </t>
  </si>
  <si>
    <t xml:space="preserve"> 97599 </t>
  </si>
  <si>
    <t>LUMINÁRIA DE EMERGÊNCIA, COM 30 LÂMPADAS LED DE 2 W, SEM REATOR - FORNECIMENTO E INSTALAÇÃO. AF_02/2020</t>
  </si>
  <si>
    <t xml:space="preserve"> 16 </t>
  </si>
  <si>
    <t>PAVIMENTAÇÃO</t>
  </si>
  <si>
    <t xml:space="preserve"> 16.1 </t>
  </si>
  <si>
    <t>PISO - INTERNO</t>
  </si>
  <si>
    <t xml:space="preserve"> 16.1.1 </t>
  </si>
  <si>
    <t xml:space="preserve"> 94782 </t>
  </si>
  <si>
    <t>(COMPOSIÇÃO REPRESENTATIVA) DO SERVIÇO DE CONTRAPISO EM ARGAMASSA TRAÇO 1:4 (CIM E AREIA), BETONEIRA 400 L, E = 4 CM ÁREAS SECAS E  MOLHADAS SOBRE LAJE , E = 3 CM ÁREAS MOLHADAS SOBRE IMPERMEABILIZAÇÃO, PARA EDIFICAÇÃO MULTIFAMILIAR. AF_11/2014</t>
  </si>
  <si>
    <t xml:space="preserve"> 16.1.2 </t>
  </si>
  <si>
    <t xml:space="preserve"> 87261 </t>
  </si>
  <si>
    <t>REVESTIMENTO CERÂMICO PARA PISO COM PLACAS TIPO PORCELANATO DE DIMENSÕES 60X60 CM APLICADA EM AMBIENTES DE ÁREA MENOR QUE 5 M². AF_06/2014</t>
  </si>
  <si>
    <t xml:space="preserve"> 16.1.3 </t>
  </si>
  <si>
    <t xml:space="preserve"> 87263 </t>
  </si>
  <si>
    <t>REVESTIMENTO CERÂMICO PARA PISO COM PLACAS TIPO PORCELANATO DE DIMENSÕES 60X60 CM APLICADA EM AMBIENTES DE ÁREA MAIOR QUE 10 M². AF_06/2014</t>
  </si>
  <si>
    <t xml:space="preserve"> 16.1.4 </t>
  </si>
  <si>
    <t xml:space="preserve"> 87262 </t>
  </si>
  <si>
    <t>REVESTIMENTO CERÂMICO PARA PISO COM PLACAS TIPO PORCELANATO DE DIMENSÕES 60X60 CM APLICADA EM AMBIENTES DE ÁREA ENTRE 5 M² E 10 M². AF_06/2014</t>
  </si>
  <si>
    <t xml:space="preserve"> 16.1.5 </t>
  </si>
  <si>
    <t xml:space="preserve"> 88650 </t>
  </si>
  <si>
    <t>RODAPÉ CERÂMICO DE 7CM DE ALTURA COM PLACAS TIPO ESMALTADA EXTRA DE DIMENSÕES 60X60CM. AF_06/2014</t>
  </si>
  <si>
    <t xml:space="preserve"> 16.2 </t>
  </si>
  <si>
    <t>PISO - EXTERNO</t>
  </si>
  <si>
    <t xml:space="preserve"> 16.2.1 </t>
  </si>
  <si>
    <t xml:space="preserve"> 00036178 </t>
  </si>
  <si>
    <t>PISO PODOTATIL DE CONCRETO - DIRECIONAL E ALERTA, *40 X 40 X 2,5* CM</t>
  </si>
  <si>
    <t xml:space="preserve"> 16.2.2 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</si>
  <si>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</si>
  <si>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</si>
  <si>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 xml:space="preserve"> 16.2.3 </t>
  </si>
  <si>
    <t xml:space="preserve"> 92404 </t>
  </si>
  <si>
    <t>EXECUÇÃO DE PÁTIO/ESTACIONAMENTO EM PISO INTERTRAVADO, COM BLOCO 16 FACES DE 22 X 11 CM, ESPESSURA 8 CM. AF_12/2015</t>
  </si>
  <si>
    <t xml:space="preserve"> 16.2.4 </t>
  </si>
  <si>
    <t xml:space="preserve"> 94998 </t>
  </si>
  <si>
    <t>EXECUÇÃO DE PASSEIO (CALÇADA) OU PISO DE CONCRETO COM CONCRETO MOLDADO IN LOCO, FEITO EM OBRA, ACABAMENTO CONVENCIONAL, ESPESSURA 12 CM, ARMADO. AF_07/2016</t>
  </si>
  <si>
    <t xml:space="preserve"> 16.2.5 </t>
  </si>
  <si>
    <t xml:space="preserve"> 12214 </t>
  </si>
  <si>
    <t>Rampa padrão para acesso de deficientes a passeio público, em concreto simples Fck=25MPa, desempolada, com pintura indicativa em novacor, 02 demãos</t>
  </si>
  <si>
    <t xml:space="preserve"> 17 </t>
  </si>
  <si>
    <t>PINTURA</t>
  </si>
  <si>
    <t xml:space="preserve"> 17.1 </t>
  </si>
  <si>
    <t xml:space="preserve"> 7695 </t>
  </si>
  <si>
    <t>Pintura de Gradil Metálico, confeccionado com barras chata 1 1/4" x 3/16",  em módulos 16x16cm, ou tijolinho 20x10cm, com 01 demão de tinta anti-corrosiva - zarcão e 02 demãos de esmalte sintético (medir somente uma vez)</t>
  </si>
  <si>
    <t xml:space="preserve"> 17.2 </t>
  </si>
  <si>
    <t xml:space="preserve"> 3738 </t>
  </si>
  <si>
    <t>Pintura de proteção sobre superfícies metálicas com aplicação de 01 demão de tinta epoxi fundo óxido de ferro - R1</t>
  </si>
  <si>
    <t xml:space="preserve"> 17.3 </t>
  </si>
  <si>
    <t xml:space="preserve"> 102209 </t>
  </si>
  <si>
    <t>PINTURA TINTA DE ACABAMENTO (PIGMENTADA) ESMALTE SINTÉTICO ACETINADO EM MADEIRA, 1 DEMÃO. AF_01/2021</t>
  </si>
  <si>
    <t xml:space="preserve"> 17.4 </t>
  </si>
  <si>
    <t xml:space="preserve"> 102197 </t>
  </si>
  <si>
    <t>PINTURA FUNDO NIVELADOR ALQUÍDICO BRANCO EM MADEIRA. AF_01/2021</t>
  </si>
  <si>
    <t xml:space="preserve"> 17.5 </t>
  </si>
  <si>
    <t xml:space="preserve"> 88489 </t>
  </si>
  <si>
    <t>APLICAÇÃO MANUAL DE PINTURA COM TINTA LÁTEX ACRÍLICA EM PAREDES, DUAS DEMÃOS. AF_06/2014</t>
  </si>
  <si>
    <t xml:space="preserve"> 17.6 </t>
  </si>
  <si>
    <t xml:space="preserve"> 88485 </t>
  </si>
  <si>
    <t>APLICAÇÃO DE FUNDO SELADOR ACRÍLICO EM PAREDES, UMA DEMÃO. AF_06/2014</t>
  </si>
  <si>
    <t xml:space="preserve"> 17.7 </t>
  </si>
  <si>
    <t xml:space="preserve"> 96130 </t>
  </si>
  <si>
    <t>APLICAÇÃO MANUAL DE MASSA ACRÍLICA EM PAREDES EXTERNAS DE CASAS, UMA DEMÃO. AF_05/2017</t>
  </si>
  <si>
    <t xml:space="preserve"> 18 </t>
  </si>
  <si>
    <t>DRENAGEM</t>
  </si>
  <si>
    <t xml:space="preserve"> 18.1 </t>
  </si>
  <si>
    <t xml:space="preserve"> 055360 </t>
  </si>
  <si>
    <t>CAIXA DRENAGEM 1,60x1,60x0,85m EM ALVENARIA, FUNDO CONCRETO</t>
  </si>
  <si>
    <t xml:space="preserve"> 18.2 </t>
  </si>
  <si>
    <t xml:space="preserve"> 055358 </t>
  </si>
  <si>
    <t>CAIXA DRENAGEM EM CONCRETO 1,75x1,75x0,95m</t>
  </si>
  <si>
    <t xml:space="preserve"> 18.3 </t>
  </si>
  <si>
    <t xml:space="preserve"> 18.4 </t>
  </si>
  <si>
    <t xml:space="preserve"> 9980 </t>
  </si>
  <si>
    <t>Dreno profundo 50x50cm c/ tubo de pvc kananet ø 200mm, bidim. areia grossa e brita</t>
  </si>
  <si>
    <t xml:space="preserve"> 18.5 </t>
  </si>
  <si>
    <t xml:space="preserve"> 99253 </t>
  </si>
  <si>
    <t>CAIXA ENTERRADA HIDRÁULICA RETANGULAR EM ALVENARIA COM TIJOLOS CERÂMICOS MACIÇOS, DIMENSÕES INTERNAS: 0,6X0,6X0,6 M PARA REDE DE DRENAGEM. AF_12/2020</t>
  </si>
  <si>
    <t xml:space="preserve"> 18.6 </t>
  </si>
  <si>
    <t xml:space="preserve"> 94483 </t>
  </si>
  <si>
    <t>CONJUNTO HIDRÁULICO PARA INSTALAÇÃO DE BOMBA EM AÇO ROSCÁVEL, DN SUCÇÃO 32 (1 1/4) E DN RECALQUE 25 (1), PARA EDIFICAÇÃO ATÉ 4 PAVIMENTOS  FORNECIMENTO E INSTALAÇÃO. AF_06/2016</t>
  </si>
  <si>
    <t xml:space="preserve"> 18.7 </t>
  </si>
  <si>
    <t xml:space="preserve"> C4722 </t>
  </si>
  <si>
    <t>SEINFRA</t>
  </si>
  <si>
    <t>IMPERMEABILIZAÇÃO À BASE DE ARGAMASSA POLIMÉRICA, RESINA TERMOPLÁSTICA E TELA DE POLIESTER MALHA 2X2MM (SUPERFÍCIE EM CONTATO DIRETO COM A ÁGUA)</t>
  </si>
  <si>
    <t xml:space="preserve"> 18.8 </t>
  </si>
  <si>
    <t xml:space="preserve"> 102688 </t>
  </si>
  <si>
    <t>DRENO ESPINHA DE PEIXE (SEÇÃO (0,40 X 0,40 M), COM TUBO DE PEAD CORRUGADO PERFURADO, DN 100 MM, ENCHIMENTO COM AREIA, INCLUSIVE CONEXÕES. AF_07/2021</t>
  </si>
  <si>
    <t xml:space="preserve"> 19 </t>
  </si>
  <si>
    <t>IDENTIFICAÇÃO VISUAL</t>
  </si>
  <si>
    <t xml:space="preserve"> 19.1 </t>
  </si>
  <si>
    <t xml:space="preserve"> 00010849 </t>
  </si>
  <si>
    <t>PLACA DE INAUGURACAO EM BRONZE *35X 50*CM</t>
  </si>
  <si>
    <t xml:space="preserve"> 19.2 </t>
  </si>
  <si>
    <t xml:space="preserve"> 10719 </t>
  </si>
  <si>
    <t>Placa de indicativa em acrílico e adesivo, com sinalização para deficientes, dim.: 12 x 30 cm</t>
  </si>
  <si>
    <t xml:space="preserve"> 19.3 </t>
  </si>
  <si>
    <t xml:space="preserve"> 10769 </t>
  </si>
  <si>
    <t>Logomarca do MPAM, confeccionada em ACM, med. Ø 1.500,00mm para a fixação em fachada - Fornecimento e instalação</t>
  </si>
  <si>
    <t xml:space="preserve"> 19.4 </t>
  </si>
  <si>
    <t xml:space="preserve"> 11392 </t>
  </si>
  <si>
    <t>Adesivo em vinil para plotagem em letreiro de chapa galvanizada (c/aplicação) m2</t>
  </si>
  <si>
    <t xml:space="preserve"> 19.5 </t>
  </si>
  <si>
    <t xml:space="preserve"> COMP-93770764 </t>
  </si>
  <si>
    <t>Letras em chapa de aço galvanizado pintada em cor padrão do MP/AM - Rotis Serif 65 BOLD de 10 a 20 cm - fornecimento e instalação</t>
  </si>
  <si>
    <t xml:space="preserve"> 19.6 </t>
  </si>
  <si>
    <t xml:space="preserve"> 10563 </t>
  </si>
  <si>
    <t>Mapa tátil em ferro fundido medindo 70 x 50cm, com suporte em chapa em ferro 1" e tubo de ferro galvanizado ø=4", pintados e placa em granito cinza andorinha</t>
  </si>
  <si>
    <t xml:space="preserve"> 19.7 </t>
  </si>
  <si>
    <t xml:space="preserve"> COMP-76640435 </t>
  </si>
  <si>
    <t>Conjunto Base em concreto (0,8 x 2,60)m e 4 Mastros para bandeiras</t>
  </si>
  <si>
    <t xml:space="preserve"> 20 </t>
  </si>
  <si>
    <t>LIMPEZA</t>
  </si>
  <si>
    <t xml:space="preserve"> 20.1 </t>
  </si>
  <si>
    <t xml:space="preserve"> COMP-175824 </t>
  </si>
  <si>
    <t>LIMPEZA PERMANENTE E FINAL DA OBRA</t>
  </si>
  <si>
    <t xml:space="preserve"> 21 </t>
  </si>
  <si>
    <t>PAISAGISMO</t>
  </si>
  <si>
    <t xml:space="preserve"> 21.1 </t>
  </si>
  <si>
    <t xml:space="preserve"> 10302 </t>
  </si>
  <si>
    <t>Planta - Ixora amarela (ixora coccinea yellow) un</t>
  </si>
  <si>
    <t xml:space="preserve"> 21.2 </t>
  </si>
  <si>
    <t xml:space="preserve"> 98513 </t>
  </si>
  <si>
    <t>PLANTIO DE ÁRVORE FRUTÍFERA COM ALTURA DE MUDA MENOR OU IGUAL A 2,00 M. AF_05/2018</t>
  </si>
  <si>
    <t xml:space="preserve"> 21.3 </t>
  </si>
  <si>
    <t xml:space="preserve"> 98504 </t>
  </si>
  <si>
    <t>PLANTIO DE GRAMA BATATAIS EM PLACAS. AF_05/2018</t>
  </si>
  <si>
    <t>Total sem BDI</t>
  </si>
  <si>
    <t>Total do BDI</t>
  </si>
  <si>
    <t>Total Geral</t>
  </si>
  <si>
    <t>ADITIVO</t>
  </si>
  <si>
    <t>SUPRESSÕES</t>
  </si>
  <si>
    <t>S04953</t>
  </si>
  <si>
    <t>Impermeabilização de alicerce e viga baldrame com 2 demãos de tinta asfáltica tipo Neutrol da Vedacit ou similar, exceto argamassa impermeabilização</t>
  </si>
  <si>
    <t>m2</t>
  </si>
  <si>
    <t>CHAPIM (RUFO CAPA) EM AÇO GALVANIZADO, CORTE 33. AF_11/2020</t>
  </si>
  <si>
    <t>CAIXA D'AGUA EM POLIETILENO 1000 LITROS, COM TAMPA</t>
  </si>
  <si>
    <t>Pia de cozinha com bancada em granito cinza andorinha, e = 2cm, dim 1.00x0.60, com 01 cuba de aço inox, sifão cromado, válvula cromada, torneira em aço inox, inclusive rodopia 10 cm, assentada.</t>
  </si>
  <si>
    <t>Tanque de louça branca com coluna, 30l ou equivalente - fornecimento e instalação. af_01/2020</t>
  </si>
  <si>
    <t>S12263</t>
  </si>
  <si>
    <t>S86872S</t>
  </si>
  <si>
    <t>103247</t>
  </si>
  <si>
    <t>103250</t>
  </si>
  <si>
    <t>103244</t>
  </si>
  <si>
    <t>101882</t>
  </si>
  <si>
    <t>93653</t>
  </si>
  <si>
    <t>93660</t>
  </si>
  <si>
    <t>93654</t>
  </si>
  <si>
    <t>93661</t>
  </si>
  <si>
    <t>93662</t>
  </si>
  <si>
    <t>00039450</t>
  </si>
  <si>
    <t>AR CONDICIONADO SPLIT INVERTER, HI-WALL (PAREDE), 12000 BTU/H, CICLO FRIO - FORNECIMENTO E INSTALAÇÃO. AF_11/2021_P</t>
  </si>
  <si>
    <t>AR CONDICIONADO SPLIT INVERTER, HI-WALL (PAREDE), 18000 BTU/H, CICLO FRIO - FORNECIMENTO E INSTALAÇÃO. AF_11/2021_P</t>
  </si>
  <si>
    <t>AR CONDICIONADO SPLIT INVERTER, HI-WALL (PAREDE), 9000 BTU/H, CICLO FRIO - FORNECIMENTO E INSTALAÇÃO. AF_11/2021_P</t>
  </si>
  <si>
    <t>QUADRO DE DISTRIBUIÇÃO DE ENERGIA EM CHAPA DE AÇO GALVANIZADO, DE EMBUTIR, COM BARRAMENTO TRIFÁSICO, PARA 30 DISJUNTORES DIN 225A - FORNECIMENTO E INSTALAÇÃO. AF_10/2020</t>
  </si>
  <si>
    <t>DISJUNTOR MONOPOLAR TIPO DIN, CORRENTE NOMINAL DE 10A - FORNECIMENTO E INSTALAÇÃO. AF_10/2020</t>
  </si>
  <si>
    <t>DISJUNTOR BIPOLAR TIPO DIN, CORRENTE NOMINAL DE 10A - FORNECIMENTO E INSTALAÇÃO. AF_10/2020</t>
  </si>
  <si>
    <t>DISJUNTOR MONOPOLAR TIPO DIN, CORRENTE NOMINAL DE 16A - FORNECIMENTO E INSTALAÇÃO. AF_10/2020</t>
  </si>
  <si>
    <t>DISJUNTOR BIPOLAR TIPO DIN, CORRENTE NOMINAL DE 16A - FORNECIMENTO E INSTALAÇÃO. AF_10/2020</t>
  </si>
  <si>
    <t>DISJUNTOR BIPOLAR TIPO DIN, CORRENTE NOMINAL DE 20A - FORNECIMENTO E INSTALAÇÃO. AF_10/2020</t>
  </si>
  <si>
    <t>DISPOSITIVO DR, 2 POLOS, SENSIBILIDADE DE 300 MA, CORRENTE DE 25 A, TIPO AC</t>
  </si>
  <si>
    <t>S11334</t>
  </si>
  <si>
    <t>Caixa de gordura  0.60 x 0.60 x 0.60m</t>
  </si>
  <si>
    <t>S09748</t>
  </si>
  <si>
    <t>94287</t>
  </si>
  <si>
    <t>94263</t>
  </si>
  <si>
    <t>102491</t>
  </si>
  <si>
    <t>102513</t>
  </si>
  <si>
    <t>Calha de drenagem em alvenaria/concreto,chapiscada e rebocada, sem impermeabilização, inclusive escavação manual</t>
  </si>
  <si>
    <t>EXECUÇÃO DE SARJETA DE CONCRETO USINADO, MOLDADA  IN LOCO  EM TRECHO RETO, 30 CM BASE X 10 CM ALTURA. AF_06/2016</t>
  </si>
  <si>
    <t>GUIA (MEIO-FIO) CONCRETO, MOLDADA  IN LOCO  EM TRECHO RETO COM EXTRUSORA, 13 CM BASE X 22 CM ALTURA. AF_06/2016</t>
  </si>
  <si>
    <t>PINTURA DE PISO COM TINTA ACRÍLICA, APLICAÇÃO MANUAL, 2 DEMÃOS, INCLUSO FUNDO PREPARADOR. AF_05/2021</t>
  </si>
  <si>
    <t>PINTURA DE SÍMBOLOS E TEXTOS COM TINTA ACRÍLICA, DEMARCAÇÃO COM FITA ADESIVA E APLICAÇÃO COM ROLO. AF_05/2021</t>
  </si>
  <si>
    <t>M2</t>
  </si>
  <si>
    <t xml:space="preserve">SUPRESSÃO </t>
  </si>
  <si>
    <t>INDICAÇÃO DE NOVOS SERVIÇOS</t>
  </si>
  <si>
    <t>Total Geral atualizado</t>
  </si>
  <si>
    <t>1ª</t>
  </si>
  <si>
    <t>2ª</t>
  </si>
  <si>
    <t>3ª</t>
  </si>
  <si>
    <t>4ª</t>
  </si>
  <si>
    <t>diferença</t>
  </si>
  <si>
    <t>Saldo:</t>
  </si>
  <si>
    <t>MEDIÇÕES</t>
  </si>
  <si>
    <t>VALOR FINAL CONTRATUAL</t>
  </si>
  <si>
    <t xml:space="preserve">TOTAL MEDIÇÕES: </t>
  </si>
  <si>
    <t>SALDO: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</si>
</sst>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,##0.00\ %"/>
  </numFmts>
  <fonts count="13" x14ac:knownFonts="1">
    <font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Arial"/>
      <family val="2"/>
    </font>
    <font>
      <sz val="11"/>
      <color rgb="FFFF0000"/>
      <name val="Arial"/>
      <family val="1"/>
    </font>
    <font>
      <b/>
      <sz val="11"/>
      <color rgb="FF000000"/>
      <name val="Arial"/>
      <family val="1"/>
    </font>
    <font>
      <sz val="11"/>
      <color rgb="FF000000"/>
      <name val="Arial"/>
      <family val="1"/>
    </font>
    <font>
      <b/>
      <sz val="12"/>
      <name val="Arial"/>
      <family val="1"/>
    </font>
    <font>
      <b/>
      <sz val="12"/>
      <name val="Arial"/>
      <family val="2"/>
    </font>
    <font>
      <b/>
      <sz val="12"/>
      <name val="Times New Roman"/>
      <family val="1"/>
    </font>
    <font>
      <b/>
      <sz val="11"/>
      <color theme="0"/>
      <name val="Arial"/>
      <family val="1"/>
    </font>
  </fonts>
  <fills count="3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CCCCCC"/>
      </bottom>
      <diagonal/>
    </border>
    <border>
      <left/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 style="thin">
        <color rgb="FFCCCCCC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4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10" fontId="0" fillId="0" borderId="7" xfId="2" applyNumberFormat="1" applyFont="1" applyBorder="1"/>
    <xf numFmtId="44" fontId="5" fillId="0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1" fillId="24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4" fontId="0" fillId="0" borderId="0" xfId="0" applyNumberFormat="1" applyFont="1" applyFill="1" applyAlignment="1">
      <alignment horizontal="center" vertical="center"/>
    </xf>
    <xf numFmtId="0" fontId="0" fillId="0" borderId="0" xfId="0" applyFont="1"/>
    <xf numFmtId="0" fontId="7" fillId="24" borderId="2" xfId="0" applyFont="1" applyFill="1" applyBorder="1" applyAlignment="1">
      <alignment horizontal="left" vertical="top" wrapText="1"/>
    </xf>
    <xf numFmtId="0" fontId="7" fillId="24" borderId="2" xfId="0" applyFont="1" applyFill="1" applyBorder="1" applyAlignment="1">
      <alignment horizontal="right" vertical="top" wrapText="1"/>
    </xf>
    <xf numFmtId="4" fontId="7" fillId="24" borderId="2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22" borderId="0" xfId="0" applyFont="1" applyFill="1"/>
    <xf numFmtId="4" fontId="8" fillId="0" borderId="2" xfId="0" applyNumberFormat="1" applyFont="1" applyFill="1" applyBorder="1" applyAlignment="1">
      <alignment horizontal="center" vertical="center" wrapText="1"/>
    </xf>
    <xf numFmtId="0" fontId="0" fillId="21" borderId="0" xfId="0" applyFont="1" applyFill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left" vertical="top" wrapText="1"/>
    </xf>
    <xf numFmtId="0" fontId="8" fillId="24" borderId="2" xfId="0" applyFont="1" applyFill="1" applyBorder="1" applyAlignment="1">
      <alignment horizontal="right" vertical="top" wrapText="1"/>
    </xf>
    <xf numFmtId="0" fontId="8" fillId="24" borderId="2" xfId="0" applyFont="1" applyFill="1" applyBorder="1" applyAlignment="1">
      <alignment horizontal="center" vertical="top" wrapText="1"/>
    </xf>
    <xf numFmtId="4" fontId="8" fillId="24" borderId="2" xfId="0" applyNumberFormat="1" applyFont="1" applyFill="1" applyBorder="1" applyAlignment="1">
      <alignment horizontal="right" vertical="top" wrapText="1"/>
    </xf>
    <xf numFmtId="0" fontId="8" fillId="9" borderId="2" xfId="0" applyFont="1" applyFill="1" applyBorder="1" applyAlignment="1">
      <alignment horizontal="left" vertical="top" wrapText="1"/>
    </xf>
    <xf numFmtId="0" fontId="8" fillId="11" borderId="2" xfId="0" applyFont="1" applyFill="1" applyBorder="1" applyAlignment="1">
      <alignment horizontal="right" vertical="top" wrapText="1"/>
    </xf>
    <xf numFmtId="0" fontId="8" fillId="10" borderId="2" xfId="0" applyFont="1" applyFill="1" applyBorder="1" applyAlignment="1">
      <alignment horizontal="center" vertical="top" wrapText="1"/>
    </xf>
    <xf numFmtId="4" fontId="8" fillId="12" borderId="2" xfId="0" applyNumberFormat="1" applyFont="1" applyFill="1" applyBorder="1" applyAlignment="1">
      <alignment horizontal="right" vertical="top" wrapText="1"/>
    </xf>
    <xf numFmtId="2" fontId="0" fillId="0" borderId="0" xfId="0" applyNumberFormat="1" applyFont="1"/>
    <xf numFmtId="0" fontId="7" fillId="5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right" vertical="top" wrapText="1"/>
    </xf>
    <xf numFmtId="4" fontId="7" fillId="7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right" vertical="top" wrapText="1"/>
    </xf>
    <xf numFmtId="4" fontId="7" fillId="0" borderId="2" xfId="0" applyNumberFormat="1" applyFont="1" applyFill="1" applyBorder="1" applyAlignment="1">
      <alignment horizontal="right" vertical="top" wrapText="1"/>
    </xf>
    <xf numFmtId="0" fontId="7" fillId="23" borderId="2" xfId="0" applyFont="1" applyFill="1" applyBorder="1" applyAlignment="1">
      <alignment horizontal="left" vertical="top" wrapText="1"/>
    </xf>
    <xf numFmtId="0" fontId="7" fillId="23" borderId="2" xfId="0" applyFont="1" applyFill="1" applyBorder="1" applyAlignment="1">
      <alignment horizontal="right" vertical="top" wrapText="1"/>
    </xf>
    <xf numFmtId="4" fontId="7" fillId="23" borderId="2" xfId="0" applyNumberFormat="1" applyFont="1" applyFill="1" applyBorder="1" applyAlignment="1">
      <alignment horizontal="right" vertical="top" wrapText="1"/>
    </xf>
    <xf numFmtId="4" fontId="0" fillId="0" borderId="0" xfId="0" applyNumberFormat="1" applyFont="1"/>
    <xf numFmtId="0" fontId="0" fillId="0" borderId="2" xfId="0" applyFont="1" applyFill="1" applyBorder="1" applyAlignment="1">
      <alignment horizontal="right" vertical="top" wrapText="1"/>
    </xf>
    <xf numFmtId="0" fontId="0" fillId="20" borderId="0" xfId="0" applyFont="1" applyFill="1" applyAlignment="1">
      <alignment horizontal="center" vertical="top" wrapText="1"/>
    </xf>
    <xf numFmtId="0" fontId="0" fillId="19" borderId="0" xfId="0" applyFont="1" applyFill="1" applyAlignment="1">
      <alignment horizontal="left" vertical="top" wrapText="1"/>
    </xf>
    <xf numFmtId="0" fontId="1" fillId="17" borderId="0" xfId="0" applyFont="1" applyFill="1" applyAlignment="1">
      <alignment horizontal="right" vertical="top" wrapText="1"/>
    </xf>
    <xf numFmtId="0" fontId="1" fillId="16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7" fillId="24" borderId="3" xfId="0" applyFont="1" applyFill="1" applyBorder="1" applyAlignment="1">
      <alignment horizontal="left" vertical="top" wrapText="1"/>
    </xf>
    <xf numFmtId="0" fontId="7" fillId="24" borderId="3" xfId="0" applyFont="1" applyFill="1" applyBorder="1" applyAlignment="1">
      <alignment horizontal="right" vertical="top" wrapText="1"/>
    </xf>
    <xf numFmtId="4" fontId="7" fillId="24" borderId="3" xfId="0" applyNumberFormat="1" applyFont="1" applyFill="1" applyBorder="1" applyAlignment="1">
      <alignment horizontal="right" vertical="top" wrapText="1"/>
    </xf>
    <xf numFmtId="0" fontId="1" fillId="24" borderId="2" xfId="0" applyFont="1" applyFill="1" applyBorder="1" applyAlignment="1">
      <alignment horizontal="center" vertical="top" wrapText="1"/>
    </xf>
    <xf numFmtId="4" fontId="0" fillId="0" borderId="0" xfId="0" applyNumberFormat="1"/>
    <xf numFmtId="10" fontId="5" fillId="0" borderId="0" xfId="2" applyNumberFormat="1" applyFont="1" applyFill="1" applyAlignment="1">
      <alignment horizontal="center" vertical="center"/>
    </xf>
    <xf numFmtId="44" fontId="0" fillId="0" borderId="0" xfId="1" applyNumberFormat="1" applyFont="1"/>
    <xf numFmtId="44" fontId="0" fillId="0" borderId="0" xfId="0" applyNumberFormat="1" applyFont="1"/>
    <xf numFmtId="0" fontId="8" fillId="25" borderId="2" xfId="0" applyFont="1" applyFill="1" applyBorder="1" applyAlignment="1">
      <alignment horizontal="left" vertical="top" wrapText="1"/>
    </xf>
    <xf numFmtId="0" fontId="8" fillId="25" borderId="2" xfId="0" applyFont="1" applyFill="1" applyBorder="1" applyAlignment="1">
      <alignment horizontal="left" vertical="center" wrapText="1"/>
    </xf>
    <xf numFmtId="0" fontId="8" fillId="25" borderId="2" xfId="0" applyFont="1" applyFill="1" applyBorder="1" applyAlignment="1">
      <alignment horizontal="center" vertical="center" wrapText="1"/>
    </xf>
    <xf numFmtId="4" fontId="8" fillId="25" borderId="2" xfId="0" applyNumberFormat="1" applyFont="1" applyFill="1" applyBorder="1" applyAlignment="1">
      <alignment horizontal="center" vertical="center" wrapText="1"/>
    </xf>
    <xf numFmtId="0" fontId="0" fillId="25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0" fontId="1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center"/>
    </xf>
    <xf numFmtId="0" fontId="0" fillId="2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4" fontId="5" fillId="0" borderId="9" xfId="1" applyFont="1" applyFill="1" applyBorder="1" applyAlignment="1">
      <alignment horizontal="center" vertical="center"/>
    </xf>
    <xf numFmtId="0" fontId="1" fillId="24" borderId="13" xfId="0" applyFont="1" applyFill="1" applyBorder="1" applyAlignment="1">
      <alignment horizontal="center" vertical="center" wrapText="1"/>
    </xf>
    <xf numFmtId="4" fontId="1" fillId="24" borderId="14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4" fontId="0" fillId="0" borderId="16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4" fontId="0" fillId="0" borderId="14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24" borderId="13" xfId="0" applyFont="1" applyFill="1" applyBorder="1" applyAlignment="1">
      <alignment horizontal="center" vertical="center"/>
    </xf>
    <xf numFmtId="4" fontId="0" fillId="24" borderId="14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10" fontId="1" fillId="0" borderId="23" xfId="2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25" borderId="13" xfId="0" applyFont="1" applyFill="1" applyBorder="1" applyAlignment="1">
      <alignment horizontal="center" vertical="center" wrapText="1"/>
    </xf>
    <xf numFmtId="4" fontId="8" fillId="25" borderId="14" xfId="0" applyNumberFormat="1" applyFont="1" applyFill="1" applyBorder="1" applyAlignment="1">
      <alignment horizontal="center" vertical="center" wrapText="1"/>
    </xf>
    <xf numFmtId="2" fontId="0" fillId="0" borderId="13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/>
    </xf>
    <xf numFmtId="44" fontId="5" fillId="0" borderId="18" xfId="1" applyFont="1" applyFill="1" applyBorder="1" applyAlignment="1">
      <alignment horizontal="center" vertical="center"/>
    </xf>
    <xf numFmtId="0" fontId="1" fillId="2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right" vertical="top" wrapText="1"/>
    </xf>
    <xf numFmtId="0" fontId="7" fillId="24" borderId="15" xfId="0" applyFont="1" applyFill="1" applyBorder="1" applyAlignment="1">
      <alignment horizontal="left" vertical="top" wrapText="1"/>
    </xf>
    <xf numFmtId="164" fontId="7" fillId="8" borderId="26" xfId="0" applyNumberFormat="1" applyFont="1" applyFill="1" applyBorder="1" applyAlignment="1">
      <alignment horizontal="right" vertical="top" wrapText="1"/>
    </xf>
    <xf numFmtId="0" fontId="7" fillId="24" borderId="13" xfId="0" applyFont="1" applyFill="1" applyBorder="1" applyAlignment="1">
      <alignment horizontal="left" vertical="top" wrapText="1"/>
    </xf>
    <xf numFmtId="164" fontId="7" fillId="8" borderId="27" xfId="0" applyNumberFormat="1" applyFont="1" applyFill="1" applyBorder="1" applyAlignment="1">
      <alignment horizontal="right" vertical="top" wrapText="1"/>
    </xf>
    <xf numFmtId="0" fontId="8" fillId="0" borderId="13" xfId="0" applyFont="1" applyFill="1" applyBorder="1" applyAlignment="1">
      <alignment horizontal="left" vertical="top" wrapText="1"/>
    </xf>
    <xf numFmtId="164" fontId="8" fillId="13" borderId="27" xfId="0" applyNumberFormat="1" applyFont="1" applyFill="1" applyBorder="1" applyAlignment="1">
      <alignment horizontal="right" vertical="top" wrapText="1"/>
    </xf>
    <xf numFmtId="164" fontId="8" fillId="14" borderId="27" xfId="0" applyNumberFormat="1" applyFont="1" applyFill="1" applyBorder="1" applyAlignment="1">
      <alignment horizontal="right" vertical="top" wrapText="1"/>
    </xf>
    <xf numFmtId="0" fontId="0" fillId="25" borderId="0" xfId="0" applyFont="1" applyFill="1" applyBorder="1" applyAlignment="1">
      <alignment horizontal="center" vertical="center"/>
    </xf>
    <xf numFmtId="164" fontId="8" fillId="25" borderId="27" xfId="0" applyNumberFormat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horizontal="right" vertical="top" wrapText="1"/>
    </xf>
    <xf numFmtId="164" fontId="7" fillId="24" borderId="27" xfId="0" applyNumberFormat="1" applyFont="1" applyFill="1" applyBorder="1" applyAlignment="1">
      <alignment horizontal="right" vertical="top" wrapText="1"/>
    </xf>
    <xf numFmtId="0" fontId="8" fillId="24" borderId="13" xfId="0" applyFont="1" applyFill="1" applyBorder="1" applyAlignment="1">
      <alignment horizontal="left" vertical="top" wrapText="1"/>
    </xf>
    <xf numFmtId="0" fontId="8" fillId="9" borderId="13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164" fontId="8" fillId="22" borderId="27" xfId="0" applyNumberFormat="1" applyFont="1" applyFill="1" applyBorder="1" applyAlignment="1">
      <alignment horizontal="right" vertical="top" wrapText="1"/>
    </xf>
    <xf numFmtId="0" fontId="8" fillId="0" borderId="13" xfId="0" applyFont="1" applyFill="1" applyBorder="1" applyAlignment="1">
      <alignment horizontal="left" wrapText="1"/>
    </xf>
    <xf numFmtId="0" fontId="7" fillId="23" borderId="13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righ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center" vertical="top" wrapText="1"/>
    </xf>
    <xf numFmtId="4" fontId="8" fillId="0" borderId="22" xfId="0" applyNumberFormat="1" applyFont="1" applyFill="1" applyBorder="1" applyAlignment="1">
      <alignment horizontal="right" vertical="top" wrapText="1"/>
    </xf>
    <xf numFmtId="164" fontId="8" fillId="13" borderId="28" xfId="0" applyNumberFormat="1" applyFont="1" applyFill="1" applyBorder="1" applyAlignment="1">
      <alignment horizontal="right" vertical="top" wrapText="1"/>
    </xf>
    <xf numFmtId="0" fontId="1" fillId="17" borderId="8" xfId="0" applyFont="1" applyFill="1" applyBorder="1" applyAlignment="1">
      <alignment horizontal="right" vertical="top" wrapText="1"/>
    </xf>
    <xf numFmtId="0" fontId="0" fillId="0" borderId="9" xfId="0" applyFont="1" applyFill="1" applyBorder="1"/>
    <xf numFmtId="44" fontId="5" fillId="0" borderId="0" xfId="0" applyNumberFormat="1" applyFont="1" applyBorder="1" applyAlignment="1">
      <alignment horizontal="center" vertical="center"/>
    </xf>
    <xf numFmtId="44" fontId="0" fillId="0" borderId="0" xfId="2" applyNumberFormat="1" applyFont="1" applyFill="1" applyAlignment="1">
      <alignment horizontal="center" vertical="center"/>
    </xf>
    <xf numFmtId="44" fontId="10" fillId="26" borderId="0" xfId="1" applyFont="1" applyFill="1" applyAlignment="1">
      <alignment horizontal="center" vertical="center"/>
    </xf>
    <xf numFmtId="44" fontId="5" fillId="0" borderId="0" xfId="0" applyNumberFormat="1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4" fontId="11" fillId="25" borderId="8" xfId="1" applyFont="1" applyFill="1" applyBorder="1" applyAlignment="1">
      <alignment horizontal="center" vertical="center"/>
    </xf>
    <xf numFmtId="44" fontId="11" fillId="25" borderId="2" xfId="1" applyFont="1" applyFill="1" applyBorder="1" applyAlignment="1">
      <alignment horizontal="center" vertical="center"/>
    </xf>
    <xf numFmtId="44" fontId="11" fillId="28" borderId="2" xfId="1" applyFont="1" applyFill="1" applyBorder="1" applyAlignment="1">
      <alignment horizontal="center" vertical="center"/>
    </xf>
    <xf numFmtId="44" fontId="11" fillId="29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4" fontId="11" fillId="27" borderId="2" xfId="1" applyFont="1" applyFill="1" applyBorder="1" applyAlignment="1">
      <alignment horizontal="center" vertical="center"/>
    </xf>
    <xf numFmtId="0" fontId="0" fillId="0" borderId="0" xfId="0" applyFont="1" applyBorder="1"/>
    <xf numFmtId="10" fontId="0" fillId="0" borderId="0" xfId="2" applyNumberFormat="1" applyFont="1" applyBorder="1"/>
    <xf numFmtId="44" fontId="11" fillId="28" borderId="37" xfId="1" applyFont="1" applyFill="1" applyBorder="1" applyAlignment="1">
      <alignment horizontal="center" vertical="center"/>
    </xf>
    <xf numFmtId="10" fontId="5" fillId="25" borderId="2" xfId="2" applyNumberFormat="1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left" vertical="top" wrapText="1"/>
    </xf>
    <xf numFmtId="4" fontId="1" fillId="18" borderId="0" xfId="0" applyNumberFormat="1" applyFont="1" applyFill="1" applyAlignment="1">
      <alignment horizontal="right" vertical="top" wrapText="1"/>
    </xf>
    <xf numFmtId="0" fontId="1" fillId="17" borderId="0" xfId="0" applyFont="1" applyFill="1" applyAlignment="1">
      <alignment horizontal="right" vertical="top" wrapText="1"/>
    </xf>
    <xf numFmtId="44" fontId="1" fillId="0" borderId="19" xfId="1" applyFont="1" applyBorder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1" fillId="0" borderId="20" xfId="1" applyFont="1" applyBorder="1" applyAlignment="1">
      <alignment horizontal="center" vertical="center"/>
    </xf>
    <xf numFmtId="44" fontId="5" fillId="0" borderId="19" xfId="1" applyFont="1" applyFill="1" applyBorder="1" applyAlignment="1">
      <alignment horizontal="center" vertical="center"/>
    </xf>
    <xf numFmtId="44" fontId="5" fillId="0" borderId="9" xfId="1" applyFont="1" applyFill="1" applyBorder="1" applyAlignment="1">
      <alignment horizontal="center" vertical="center"/>
    </xf>
    <xf numFmtId="44" fontId="5" fillId="0" borderId="20" xfId="1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/>
    </xf>
    <xf numFmtId="0" fontId="1" fillId="24" borderId="11" xfId="0" applyFont="1" applyFill="1" applyBorder="1" applyAlignment="1">
      <alignment horizontal="center" vertical="center"/>
    </xf>
    <xf numFmtId="0" fontId="1" fillId="24" borderId="12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/>
    </xf>
    <xf numFmtId="0" fontId="5" fillId="24" borderId="11" xfId="0" applyFont="1" applyFill="1" applyBorder="1" applyAlignment="1">
      <alignment horizontal="center" vertical="center"/>
    </xf>
    <xf numFmtId="0" fontId="5" fillId="24" borderId="12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horizontal="left" vertical="top" wrapText="1"/>
    </xf>
    <xf numFmtId="0" fontId="9" fillId="17" borderId="36" xfId="0" applyFont="1" applyFill="1" applyBorder="1" applyAlignment="1">
      <alignment horizontal="right" vertical="top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" fillId="15" borderId="29" xfId="0" applyFont="1" applyFill="1" applyBorder="1" applyAlignment="1">
      <alignment horizontal="left" vertical="top" wrapText="1"/>
    </xf>
    <xf numFmtId="0" fontId="1" fillId="17" borderId="35" xfId="0" applyFont="1" applyFill="1" applyBorder="1" applyAlignment="1">
      <alignment horizontal="right" vertical="top" wrapText="1"/>
    </xf>
    <xf numFmtId="44" fontId="1" fillId="18" borderId="29" xfId="1" applyFont="1" applyFill="1" applyBorder="1" applyAlignment="1">
      <alignment horizontal="right" vertical="top" wrapText="1"/>
    </xf>
    <xf numFmtId="44" fontId="1" fillId="17" borderId="30" xfId="1" applyFont="1" applyFill="1" applyBorder="1" applyAlignment="1">
      <alignment horizontal="right" vertical="top" wrapText="1"/>
    </xf>
    <xf numFmtId="44" fontId="1" fillId="17" borderId="31" xfId="1" applyFont="1" applyFill="1" applyBorder="1" applyAlignment="1">
      <alignment horizontal="right" vertical="top" wrapText="1"/>
    </xf>
    <xf numFmtId="0" fontId="0" fillId="0" borderId="2" xfId="0" applyFont="1" applyBorder="1"/>
    <xf numFmtId="0" fontId="1" fillId="15" borderId="0" xfId="0" applyFont="1" applyFill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44" fontId="11" fillId="29" borderId="9" xfId="0" applyNumberFormat="1" applyFont="1" applyFill="1" applyBorder="1" applyAlignment="1">
      <alignment horizontal="center" vertical="center"/>
    </xf>
    <xf numFmtId="44" fontId="11" fillId="29" borderId="38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wrapText="1"/>
    </xf>
    <xf numFmtId="44" fontId="9" fillId="0" borderId="32" xfId="1" applyFont="1" applyFill="1" applyBorder="1" applyAlignment="1">
      <alignment horizontal="right" vertical="top" wrapText="1"/>
    </xf>
    <xf numFmtId="44" fontId="9" fillId="0" borderId="33" xfId="1" applyFont="1" applyFill="1" applyBorder="1" applyAlignment="1">
      <alignment horizontal="right" vertical="top" wrapText="1"/>
    </xf>
    <xf numFmtId="44" fontId="9" fillId="0" borderId="34" xfId="1" applyFont="1" applyFill="1" applyBorder="1" applyAlignment="1">
      <alignment horizontal="right" vertical="top" wrapText="1"/>
    </xf>
    <xf numFmtId="10" fontId="5" fillId="0" borderId="23" xfId="2" applyNumberFormat="1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" vertical="center" wrapText="1"/>
    </xf>
    <xf numFmtId="44" fontId="12" fillId="16" borderId="0" xfId="0" applyNumberFormat="1" applyFont="1" applyFill="1" applyAlignment="1">
      <alignment horizontal="center" vertical="center" wrapText="1"/>
    </xf>
    <xf numFmtId="0" fontId="12" fillId="16" borderId="0" xfId="0" applyFont="1" applyFill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347"/>
  <sheetViews>
    <sheetView tabSelected="1" showOutlineSymbols="0" showWhiteSpace="0" zoomScaleNormal="100" zoomScaleSheetLayoutView="80" workbookViewId="0">
      <pane ySplit="5" topLeftCell="A308" activePane="bottomLeft" state="frozen"/>
      <selection pane="bottomLeft" activeCell="I354" sqref="I354"/>
    </sheetView>
  </sheetViews>
  <sheetFormatPr defaultRowHeight="14.25" x14ac:dyDescent="0.2"/>
  <cols>
    <col min="1" max="1" width="2" style="12" customWidth="1"/>
    <col min="2" max="2" width="7.5" style="12" bestFit="1" customWidth="1"/>
    <col min="3" max="3" width="10" style="12" bestFit="1" customWidth="1"/>
    <col min="4" max="4" width="13.25" style="12" bestFit="1" customWidth="1"/>
    <col min="5" max="5" width="60" style="12" bestFit="1" customWidth="1"/>
    <col min="6" max="6" width="8" style="12" bestFit="1" customWidth="1"/>
    <col min="7" max="9" width="13" style="12" bestFit="1" customWidth="1"/>
    <col min="10" max="10" width="9.875" style="12" bestFit="1" customWidth="1"/>
    <col min="11" max="11" width="8.75" style="12" hidden="1" customWidth="1"/>
    <col min="12" max="12" width="1" style="10" customWidth="1"/>
    <col min="13" max="13" width="21.5" style="5" bestFit="1" customWidth="1"/>
    <col min="14" max="14" width="18.375" style="5" customWidth="1"/>
    <col min="15" max="15" width="15.75" style="6" bestFit="1" customWidth="1"/>
    <col min="16" max="16" width="1.625" style="9" customWidth="1"/>
    <col min="17" max="17" width="16.75" style="9" bestFit="1" customWidth="1"/>
    <col min="18" max="18" width="9.625" style="9" bestFit="1" customWidth="1"/>
    <col min="19" max="19" width="15" style="11" bestFit="1" customWidth="1"/>
    <col min="20" max="20" width="6.125" style="12" hidden="1" customWidth="1"/>
    <col min="21" max="21" width="13.125" style="12" hidden="1" customWidth="1"/>
    <col min="22" max="22" width="13.875" style="12" hidden="1" customWidth="1"/>
    <col min="23" max="23" width="0" style="12" hidden="1" customWidth="1"/>
    <col min="24" max="16384" width="9" style="12"/>
  </cols>
  <sheetData>
    <row r="1" spans="2:19" ht="9" customHeight="1" x14ac:dyDescent="0.2"/>
    <row r="2" spans="2:19" ht="15" customHeight="1" x14ac:dyDescent="0.2">
      <c r="B2" s="159" t="s">
        <v>0</v>
      </c>
      <c r="C2" s="159"/>
      <c r="D2" s="159"/>
      <c r="E2" s="160" t="s">
        <v>3</v>
      </c>
      <c r="F2" s="175" t="s">
        <v>1</v>
      </c>
      <c r="G2" s="175"/>
      <c r="H2" s="175" t="s">
        <v>2</v>
      </c>
      <c r="I2" s="175"/>
      <c r="J2" s="175"/>
      <c r="K2" s="175"/>
      <c r="Q2" s="141" t="s">
        <v>860</v>
      </c>
      <c r="R2" s="141"/>
      <c r="S2" s="141"/>
    </row>
    <row r="3" spans="2:19" ht="15.75" thickBot="1" x14ac:dyDescent="0.25">
      <c r="B3" s="159"/>
      <c r="C3" s="159"/>
      <c r="D3" s="159"/>
      <c r="E3" s="160"/>
      <c r="F3" s="142" t="s">
        <v>4</v>
      </c>
      <c r="G3" s="142"/>
      <c r="H3" s="142" t="s">
        <v>5</v>
      </c>
      <c r="I3" s="142"/>
      <c r="J3" s="142"/>
      <c r="K3" s="142"/>
    </row>
    <row r="4" spans="2:19" ht="15" x14ac:dyDescent="0.25">
      <c r="B4" s="176" t="s">
        <v>6</v>
      </c>
      <c r="C4" s="170"/>
      <c r="D4" s="170"/>
      <c r="E4" s="170"/>
      <c r="F4" s="170"/>
      <c r="G4" s="170"/>
      <c r="H4" s="170"/>
      <c r="I4" s="170"/>
      <c r="J4" s="170"/>
      <c r="K4" s="170"/>
      <c r="M4" s="151" t="s">
        <v>816</v>
      </c>
      <c r="N4" s="152"/>
      <c r="O4" s="153"/>
      <c r="Q4" s="154" t="s">
        <v>815</v>
      </c>
      <c r="R4" s="155"/>
      <c r="S4" s="156"/>
    </row>
    <row r="5" spans="2:19" ht="30" customHeight="1" x14ac:dyDescent="0.2">
      <c r="B5" s="97" t="s">
        <v>7</v>
      </c>
      <c r="C5" s="57" t="s">
        <v>8</v>
      </c>
      <c r="D5" s="57" t="s">
        <v>9</v>
      </c>
      <c r="E5" s="57" t="s">
        <v>10</v>
      </c>
      <c r="F5" s="57" t="s">
        <v>11</v>
      </c>
      <c r="G5" s="57" t="s">
        <v>12</v>
      </c>
      <c r="H5" s="57" t="s">
        <v>13</v>
      </c>
      <c r="I5" s="57" t="s">
        <v>14</v>
      </c>
      <c r="J5" s="57" t="s">
        <v>15</v>
      </c>
      <c r="K5" s="98" t="s">
        <v>16</v>
      </c>
      <c r="M5" s="75" t="s">
        <v>12</v>
      </c>
      <c r="N5" s="7" t="s">
        <v>14</v>
      </c>
      <c r="O5" s="76" t="s">
        <v>15</v>
      </c>
      <c r="P5" s="88"/>
      <c r="Q5" s="75" t="s">
        <v>12</v>
      </c>
      <c r="R5" s="7" t="s">
        <v>14</v>
      </c>
      <c r="S5" s="76" t="s">
        <v>15</v>
      </c>
    </row>
    <row r="6" spans="2:19" ht="24" customHeight="1" x14ac:dyDescent="0.2">
      <c r="B6" s="99" t="s">
        <v>17</v>
      </c>
      <c r="C6" s="54"/>
      <c r="D6" s="54"/>
      <c r="E6" s="54" t="s">
        <v>18</v>
      </c>
      <c r="F6" s="54"/>
      <c r="G6" s="55"/>
      <c r="H6" s="54"/>
      <c r="I6" s="54"/>
      <c r="J6" s="56">
        <v>166316.99</v>
      </c>
      <c r="K6" s="100">
        <v>0.15797392720041778</v>
      </c>
      <c r="M6" s="77"/>
      <c r="N6" s="8"/>
      <c r="O6" s="78"/>
      <c r="Q6" s="77"/>
      <c r="R6" s="8"/>
      <c r="S6" s="78"/>
    </row>
    <row r="7" spans="2:19" ht="24" customHeight="1" x14ac:dyDescent="0.2">
      <c r="B7" s="101" t="s">
        <v>19</v>
      </c>
      <c r="C7" s="13"/>
      <c r="D7" s="13"/>
      <c r="E7" s="13" t="s">
        <v>20</v>
      </c>
      <c r="F7" s="13"/>
      <c r="G7" s="14"/>
      <c r="H7" s="13"/>
      <c r="I7" s="13"/>
      <c r="J7" s="15">
        <v>107090.28</v>
      </c>
      <c r="K7" s="102">
        <v>0.10171824355763266</v>
      </c>
      <c r="M7" s="79"/>
      <c r="N7" s="1"/>
      <c r="O7" s="80"/>
      <c r="Q7" s="79"/>
      <c r="R7" s="1"/>
      <c r="S7" s="80"/>
    </row>
    <row r="8" spans="2:19" ht="26.1" customHeight="1" x14ac:dyDescent="0.2">
      <c r="B8" s="103" t="s">
        <v>21</v>
      </c>
      <c r="C8" s="17" t="s">
        <v>22</v>
      </c>
      <c r="D8" s="16" t="s">
        <v>23</v>
      </c>
      <c r="E8" s="16" t="s">
        <v>24</v>
      </c>
      <c r="F8" s="18" t="s">
        <v>25</v>
      </c>
      <c r="G8" s="17">
        <v>4</v>
      </c>
      <c r="H8" s="19">
        <v>21903.439999999999</v>
      </c>
      <c r="I8" s="19">
        <v>26772.57</v>
      </c>
      <c r="J8" s="19">
        <v>107090.28</v>
      </c>
      <c r="K8" s="104">
        <v>0.10171824355763266</v>
      </c>
      <c r="M8" s="79"/>
      <c r="N8" s="1"/>
      <c r="O8" s="80"/>
      <c r="Q8" s="79">
        <v>3</v>
      </c>
      <c r="R8" s="2">
        <f>I8</f>
        <v>26772.57</v>
      </c>
      <c r="S8" s="80">
        <f>R8*Q8</f>
        <v>80317.709999999992</v>
      </c>
    </row>
    <row r="9" spans="2:19" ht="24" customHeight="1" x14ac:dyDescent="0.2">
      <c r="B9" s="101" t="s">
        <v>26</v>
      </c>
      <c r="C9" s="13"/>
      <c r="D9" s="13"/>
      <c r="E9" s="13" t="s">
        <v>27</v>
      </c>
      <c r="F9" s="13"/>
      <c r="G9" s="14"/>
      <c r="H9" s="13"/>
      <c r="I9" s="13"/>
      <c r="J9" s="15">
        <v>47065.21</v>
      </c>
      <c r="K9" s="102">
        <v>4.4704248544976524E-2</v>
      </c>
      <c r="M9" s="79"/>
      <c r="N9" s="1"/>
      <c r="O9" s="80"/>
      <c r="Q9" s="79"/>
      <c r="R9" s="1"/>
      <c r="S9" s="80"/>
    </row>
    <row r="10" spans="2:19" ht="28.5" x14ac:dyDescent="0.2">
      <c r="B10" s="103" t="s">
        <v>28</v>
      </c>
      <c r="C10" s="17" t="s">
        <v>29</v>
      </c>
      <c r="D10" s="16" t="s">
        <v>23</v>
      </c>
      <c r="E10" s="16" t="s">
        <v>30</v>
      </c>
      <c r="F10" s="18" t="s">
        <v>25</v>
      </c>
      <c r="G10" s="17">
        <v>4</v>
      </c>
      <c r="H10" s="19">
        <v>2687.98</v>
      </c>
      <c r="I10" s="19">
        <v>3285.51</v>
      </c>
      <c r="J10" s="19">
        <v>13142.04</v>
      </c>
      <c r="K10" s="104">
        <v>1.2482787658825347E-2</v>
      </c>
      <c r="M10" s="79"/>
      <c r="N10" s="1"/>
      <c r="O10" s="80"/>
      <c r="Q10" s="79">
        <v>3</v>
      </c>
      <c r="R10" s="2">
        <f>I10</f>
        <v>3285.51</v>
      </c>
      <c r="S10" s="80">
        <f t="shared" ref="S10:S11" si="0">R10*Q10</f>
        <v>9856.5300000000007</v>
      </c>
    </row>
    <row r="11" spans="2:19" ht="24" hidden="1" customHeight="1" x14ac:dyDescent="0.2">
      <c r="B11" s="103" t="s">
        <v>31</v>
      </c>
      <c r="C11" s="17" t="s">
        <v>32</v>
      </c>
      <c r="D11" s="16" t="s">
        <v>23</v>
      </c>
      <c r="E11" s="16" t="s">
        <v>33</v>
      </c>
      <c r="F11" s="18" t="s">
        <v>34</v>
      </c>
      <c r="G11" s="17">
        <v>1</v>
      </c>
      <c r="H11" s="19">
        <v>393.54</v>
      </c>
      <c r="I11" s="19">
        <v>481.02</v>
      </c>
      <c r="J11" s="19">
        <v>481.02</v>
      </c>
      <c r="K11" s="104">
        <v>4.5689029402194546E-4</v>
      </c>
      <c r="M11" s="79"/>
      <c r="N11" s="1"/>
      <c r="O11" s="80"/>
      <c r="Q11" s="79"/>
      <c r="R11" s="1"/>
      <c r="S11" s="80">
        <f t="shared" si="0"/>
        <v>0</v>
      </c>
    </row>
    <row r="12" spans="2:19" ht="28.5" x14ac:dyDescent="0.2">
      <c r="B12" s="103" t="s">
        <v>35</v>
      </c>
      <c r="C12" s="17" t="s">
        <v>36</v>
      </c>
      <c r="D12" s="16" t="s">
        <v>37</v>
      </c>
      <c r="E12" s="16" t="s">
        <v>38</v>
      </c>
      <c r="F12" s="18" t="s">
        <v>39</v>
      </c>
      <c r="G12" s="17">
        <v>704</v>
      </c>
      <c r="H12" s="19">
        <v>26.6</v>
      </c>
      <c r="I12" s="19">
        <v>32.51</v>
      </c>
      <c r="J12" s="19">
        <v>22887.040000000001</v>
      </c>
      <c r="K12" s="104">
        <v>2.1738943151827422E-2</v>
      </c>
      <c r="M12" s="79"/>
      <c r="N12" s="1"/>
      <c r="O12" s="80"/>
      <c r="Q12" s="79">
        <f>4*22*3</f>
        <v>264</v>
      </c>
      <c r="R12" s="2">
        <f>I12</f>
        <v>32.51</v>
      </c>
      <c r="S12" s="80">
        <f>R12*Q12</f>
        <v>8582.64</v>
      </c>
    </row>
    <row r="13" spans="2:19" ht="28.5" hidden="1" x14ac:dyDescent="0.2">
      <c r="B13" s="103" t="s">
        <v>40</v>
      </c>
      <c r="C13" s="17" t="s">
        <v>41</v>
      </c>
      <c r="D13" s="16" t="s">
        <v>23</v>
      </c>
      <c r="E13" s="16" t="s">
        <v>42</v>
      </c>
      <c r="F13" s="18" t="s">
        <v>43</v>
      </c>
      <c r="G13" s="17">
        <v>704</v>
      </c>
      <c r="H13" s="19">
        <v>0.74</v>
      </c>
      <c r="I13" s="19">
        <v>0.9</v>
      </c>
      <c r="J13" s="19">
        <v>10555.11</v>
      </c>
      <c r="K13" s="104">
        <v>1.0025627440301809E-2</v>
      </c>
      <c r="M13" s="79"/>
      <c r="N13" s="1"/>
      <c r="O13" s="80"/>
      <c r="Q13" s="79"/>
      <c r="R13" s="1"/>
      <c r="S13" s="80"/>
    </row>
    <row r="14" spans="2:19" ht="24" customHeight="1" x14ac:dyDescent="0.2">
      <c r="B14" s="101" t="s">
        <v>44</v>
      </c>
      <c r="C14" s="13"/>
      <c r="D14" s="13"/>
      <c r="E14" s="13" t="s">
        <v>45</v>
      </c>
      <c r="F14" s="13"/>
      <c r="G14" s="14"/>
      <c r="H14" s="13"/>
      <c r="I14" s="13"/>
      <c r="J14" s="15">
        <v>12161.5</v>
      </c>
      <c r="K14" s="102">
        <v>1.1551435097808593E-2</v>
      </c>
      <c r="M14" s="79"/>
      <c r="N14" s="1"/>
      <c r="O14" s="80"/>
      <c r="Q14" s="79"/>
      <c r="R14" s="1"/>
      <c r="S14" s="80"/>
    </row>
    <row r="15" spans="2:19" ht="71.25" x14ac:dyDescent="0.2">
      <c r="B15" s="103" t="s">
        <v>46</v>
      </c>
      <c r="C15" s="17" t="s">
        <v>47</v>
      </c>
      <c r="D15" s="16" t="s">
        <v>23</v>
      </c>
      <c r="E15" s="16" t="s">
        <v>48</v>
      </c>
      <c r="F15" s="18" t="s">
        <v>49</v>
      </c>
      <c r="G15" s="17">
        <v>50</v>
      </c>
      <c r="H15" s="19">
        <v>199</v>
      </c>
      <c r="I15" s="19">
        <v>243.23</v>
      </c>
      <c r="J15" s="19">
        <v>12161.5</v>
      </c>
      <c r="K15" s="104">
        <v>1.1551435097808593E-2</v>
      </c>
      <c r="M15" s="79"/>
      <c r="N15" s="1"/>
      <c r="O15" s="80"/>
      <c r="Q15" s="79"/>
      <c r="R15" s="1"/>
      <c r="S15" s="80"/>
    </row>
    <row r="16" spans="2:19" ht="24" customHeight="1" x14ac:dyDescent="0.2">
      <c r="B16" s="101" t="s">
        <v>50</v>
      </c>
      <c r="C16" s="13"/>
      <c r="D16" s="13"/>
      <c r="E16" s="13" t="s">
        <v>51</v>
      </c>
      <c r="F16" s="13"/>
      <c r="G16" s="14"/>
      <c r="H16" s="13"/>
      <c r="I16" s="13"/>
      <c r="J16" s="15">
        <v>78876.42</v>
      </c>
      <c r="K16" s="102">
        <v>7.49196929965458E-2</v>
      </c>
      <c r="M16" s="79"/>
      <c r="N16" s="1"/>
      <c r="O16" s="80"/>
      <c r="Q16" s="79"/>
      <c r="R16" s="1"/>
      <c r="S16" s="80"/>
    </row>
    <row r="17" spans="2:19" ht="24" customHeight="1" x14ac:dyDescent="0.2">
      <c r="B17" s="101" t="s">
        <v>52</v>
      </c>
      <c r="C17" s="13"/>
      <c r="D17" s="13"/>
      <c r="E17" s="13" t="s">
        <v>53</v>
      </c>
      <c r="F17" s="13"/>
      <c r="G17" s="14"/>
      <c r="H17" s="13"/>
      <c r="I17" s="13"/>
      <c r="J17" s="15">
        <v>31346.73</v>
      </c>
      <c r="K17" s="102">
        <v>2.9774264451221444E-2</v>
      </c>
      <c r="M17" s="79"/>
      <c r="N17" s="1"/>
      <c r="O17" s="80"/>
      <c r="Q17" s="79"/>
      <c r="R17" s="1"/>
      <c r="S17" s="80"/>
    </row>
    <row r="18" spans="2:19" ht="39" hidden="1" customHeight="1" x14ac:dyDescent="0.2">
      <c r="B18" s="103" t="s">
        <v>54</v>
      </c>
      <c r="C18" s="17" t="s">
        <v>55</v>
      </c>
      <c r="D18" s="16" t="s">
        <v>56</v>
      </c>
      <c r="E18" s="16" t="s">
        <v>57</v>
      </c>
      <c r="F18" s="18" t="s">
        <v>58</v>
      </c>
      <c r="G18" s="17">
        <v>1</v>
      </c>
      <c r="H18" s="19">
        <v>544.83000000000004</v>
      </c>
      <c r="I18" s="19">
        <v>665.94</v>
      </c>
      <c r="J18" s="19">
        <v>665.94</v>
      </c>
      <c r="K18" s="104">
        <v>6.3253403684041074E-4</v>
      </c>
      <c r="M18" s="79"/>
      <c r="N18" s="1"/>
      <c r="O18" s="80"/>
      <c r="Q18" s="79"/>
      <c r="R18" s="1"/>
      <c r="S18" s="80"/>
    </row>
    <row r="19" spans="2:19" ht="39" hidden="1" customHeight="1" x14ac:dyDescent="0.2">
      <c r="B19" s="103" t="s">
        <v>59</v>
      </c>
      <c r="C19" s="17" t="s">
        <v>60</v>
      </c>
      <c r="D19" s="16" t="s">
        <v>61</v>
      </c>
      <c r="E19" s="16" t="s">
        <v>62</v>
      </c>
      <c r="F19" s="18" t="s">
        <v>63</v>
      </c>
      <c r="G19" s="17">
        <v>12</v>
      </c>
      <c r="H19" s="19">
        <v>595.58000000000004</v>
      </c>
      <c r="I19" s="19">
        <v>727.97</v>
      </c>
      <c r="J19" s="19">
        <v>8735.64</v>
      </c>
      <c r="K19" s="104">
        <v>8.2974286476027344E-3</v>
      </c>
      <c r="M19" s="79"/>
      <c r="N19" s="1"/>
      <c r="O19" s="80"/>
      <c r="Q19" s="79"/>
      <c r="R19" s="1"/>
      <c r="S19" s="80"/>
    </row>
    <row r="20" spans="2:19" ht="24" hidden="1" customHeight="1" x14ac:dyDescent="0.2">
      <c r="B20" s="103" t="s">
        <v>64</v>
      </c>
      <c r="C20" s="17" t="s">
        <v>65</v>
      </c>
      <c r="D20" s="16" t="s">
        <v>23</v>
      </c>
      <c r="E20" s="16" t="s">
        <v>66</v>
      </c>
      <c r="F20" s="18" t="s">
        <v>63</v>
      </c>
      <c r="G20" s="17">
        <v>4.5</v>
      </c>
      <c r="H20" s="19">
        <v>34.020000000000003</v>
      </c>
      <c r="I20" s="19">
        <v>41.58</v>
      </c>
      <c r="J20" s="19">
        <v>187.11</v>
      </c>
      <c r="K20" s="104">
        <v>1.7772388448390131E-4</v>
      </c>
      <c r="M20" s="79"/>
      <c r="N20" s="1"/>
      <c r="O20" s="80"/>
      <c r="Q20" s="79"/>
      <c r="R20" s="1"/>
      <c r="S20" s="80"/>
    </row>
    <row r="21" spans="2:19" ht="65.099999999999994" hidden="1" customHeight="1" x14ac:dyDescent="0.2">
      <c r="B21" s="103" t="s">
        <v>67</v>
      </c>
      <c r="C21" s="17" t="s">
        <v>68</v>
      </c>
      <c r="D21" s="16" t="s">
        <v>61</v>
      </c>
      <c r="E21" s="16" t="s">
        <v>69</v>
      </c>
      <c r="F21" s="18" t="s">
        <v>70</v>
      </c>
      <c r="G21" s="17">
        <v>64</v>
      </c>
      <c r="H21" s="19">
        <v>5.74</v>
      </c>
      <c r="I21" s="19">
        <v>7.01</v>
      </c>
      <c r="J21" s="19">
        <v>448.64</v>
      </c>
      <c r="K21" s="105">
        <v>4.2613459213755275E-4</v>
      </c>
      <c r="M21" s="79"/>
      <c r="N21" s="1"/>
      <c r="O21" s="80"/>
      <c r="Q21" s="79"/>
      <c r="R21" s="1"/>
      <c r="S21" s="80"/>
    </row>
    <row r="22" spans="2:19" ht="65.099999999999994" hidden="1" customHeight="1" x14ac:dyDescent="0.2">
      <c r="B22" s="103" t="s">
        <v>71</v>
      </c>
      <c r="C22" s="17" t="s">
        <v>72</v>
      </c>
      <c r="D22" s="16" t="s">
        <v>61</v>
      </c>
      <c r="E22" s="16" t="s">
        <v>73</v>
      </c>
      <c r="F22" s="18" t="s">
        <v>74</v>
      </c>
      <c r="G22" s="17">
        <v>18</v>
      </c>
      <c r="H22" s="19">
        <v>17.25</v>
      </c>
      <c r="I22" s="19">
        <v>21.08</v>
      </c>
      <c r="J22" s="19">
        <v>379.44</v>
      </c>
      <c r="K22" s="105">
        <v>3.604059148552804E-4</v>
      </c>
      <c r="M22" s="79"/>
      <c r="N22" s="1"/>
      <c r="O22" s="80"/>
      <c r="Q22" s="79"/>
      <c r="R22" s="1"/>
      <c r="S22" s="80"/>
    </row>
    <row r="23" spans="2:19" x14ac:dyDescent="0.2">
      <c r="B23" s="103" t="s">
        <v>75</v>
      </c>
      <c r="C23" s="17" t="s">
        <v>76</v>
      </c>
      <c r="D23" s="16" t="s">
        <v>61</v>
      </c>
      <c r="E23" s="16" t="s">
        <v>77</v>
      </c>
      <c r="F23" s="18" t="s">
        <v>63</v>
      </c>
      <c r="G23" s="17">
        <v>138</v>
      </c>
      <c r="H23" s="19">
        <v>105.71</v>
      </c>
      <c r="I23" s="19">
        <v>129.19999999999999</v>
      </c>
      <c r="J23" s="19">
        <v>17829.599999999999</v>
      </c>
      <c r="K23" s="104">
        <v>1.6935202665780382E-2</v>
      </c>
      <c r="M23" s="79">
        <f>18+5+5</f>
        <v>28</v>
      </c>
      <c r="N23" s="2">
        <f>I23</f>
        <v>129.19999999999999</v>
      </c>
      <c r="O23" s="80">
        <f>N23*M23</f>
        <v>3617.5999999999995</v>
      </c>
      <c r="Q23" s="79"/>
      <c r="R23" s="1"/>
      <c r="S23" s="80"/>
    </row>
    <row r="24" spans="2:19" ht="39" hidden="1" customHeight="1" x14ac:dyDescent="0.2">
      <c r="B24" s="103" t="s">
        <v>78</v>
      </c>
      <c r="C24" s="17" t="s">
        <v>79</v>
      </c>
      <c r="D24" s="16" t="s">
        <v>56</v>
      </c>
      <c r="E24" s="16" t="s">
        <v>80</v>
      </c>
      <c r="F24" s="18" t="s">
        <v>34</v>
      </c>
      <c r="G24" s="17">
        <v>1</v>
      </c>
      <c r="H24" s="19">
        <v>1627.15</v>
      </c>
      <c r="I24" s="19">
        <v>1988.86</v>
      </c>
      <c r="J24" s="19">
        <v>1988.86</v>
      </c>
      <c r="K24" s="104">
        <v>1.8890915765841056E-3</v>
      </c>
      <c r="M24" s="79"/>
      <c r="N24" s="1"/>
      <c r="O24" s="80"/>
      <c r="Q24" s="79"/>
      <c r="R24" s="1"/>
      <c r="S24" s="80"/>
    </row>
    <row r="25" spans="2:19" ht="28.5" hidden="1" x14ac:dyDescent="0.2">
      <c r="B25" s="103" t="s">
        <v>81</v>
      </c>
      <c r="C25" s="17" t="s">
        <v>82</v>
      </c>
      <c r="D25" s="16" t="s">
        <v>37</v>
      </c>
      <c r="E25" s="16" t="s">
        <v>83</v>
      </c>
      <c r="F25" s="18" t="s">
        <v>63</v>
      </c>
      <c r="G25" s="17">
        <v>950</v>
      </c>
      <c r="H25" s="19">
        <v>0.96</v>
      </c>
      <c r="I25" s="19">
        <v>1.17</v>
      </c>
      <c r="J25" s="19">
        <v>1111.5</v>
      </c>
      <c r="K25" s="104">
        <v>1.0557431329370761E-3</v>
      </c>
      <c r="M25" s="79"/>
      <c r="N25" s="2"/>
      <c r="O25" s="80"/>
      <c r="Q25" s="79"/>
      <c r="R25" s="1"/>
      <c r="S25" s="80"/>
    </row>
    <row r="26" spans="2:19" ht="24" customHeight="1" x14ac:dyDescent="0.2">
      <c r="B26" s="101" t="s">
        <v>84</v>
      </c>
      <c r="C26" s="13"/>
      <c r="D26" s="13"/>
      <c r="E26" s="13" t="s">
        <v>85</v>
      </c>
      <c r="F26" s="13"/>
      <c r="G26" s="14"/>
      <c r="H26" s="13"/>
      <c r="I26" s="13"/>
      <c r="J26" s="15">
        <v>11306.33</v>
      </c>
      <c r="K26" s="102">
        <v>1.0739163523365229E-2</v>
      </c>
      <c r="M26" s="79"/>
      <c r="N26" s="1"/>
      <c r="O26" s="80"/>
      <c r="Q26" s="79"/>
      <c r="R26" s="1"/>
      <c r="S26" s="80"/>
    </row>
    <row r="27" spans="2:19" ht="24" customHeight="1" x14ac:dyDescent="0.2">
      <c r="B27" s="103" t="s">
        <v>86</v>
      </c>
      <c r="C27" s="17" t="s">
        <v>87</v>
      </c>
      <c r="D27" s="16" t="s">
        <v>37</v>
      </c>
      <c r="E27" s="16" t="s">
        <v>88</v>
      </c>
      <c r="F27" s="18" t="s">
        <v>63</v>
      </c>
      <c r="G27" s="17">
        <v>94.59</v>
      </c>
      <c r="H27" s="19">
        <v>15.1</v>
      </c>
      <c r="I27" s="19">
        <v>18.45</v>
      </c>
      <c r="J27" s="19">
        <v>1745.18</v>
      </c>
      <c r="K27" s="104">
        <v>1.6576354482583234E-3</v>
      </c>
      <c r="M27" s="81">
        <f>G27</f>
        <v>94.59</v>
      </c>
      <c r="N27" s="20">
        <f>I27</f>
        <v>18.45</v>
      </c>
      <c r="O27" s="80">
        <f>J27</f>
        <v>1745.18</v>
      </c>
      <c r="Q27" s="79"/>
      <c r="R27" s="1"/>
      <c r="S27" s="80"/>
    </row>
    <row r="28" spans="2:19" ht="26.1" hidden="1" customHeight="1" x14ac:dyDescent="0.2">
      <c r="B28" s="103" t="s">
        <v>89</v>
      </c>
      <c r="C28" s="17" t="s">
        <v>90</v>
      </c>
      <c r="D28" s="16" t="s">
        <v>37</v>
      </c>
      <c r="E28" s="16" t="s">
        <v>91</v>
      </c>
      <c r="F28" s="18" t="s">
        <v>63</v>
      </c>
      <c r="G28" s="17">
        <v>94.59</v>
      </c>
      <c r="H28" s="19">
        <v>82.7</v>
      </c>
      <c r="I28" s="19">
        <v>101.08</v>
      </c>
      <c r="J28" s="19">
        <v>9561.15</v>
      </c>
      <c r="K28" s="104">
        <v>9.0815280751069052E-3</v>
      </c>
      <c r="M28" s="79"/>
      <c r="N28" s="1"/>
      <c r="O28" s="80"/>
      <c r="Q28" s="79"/>
      <c r="R28" s="1"/>
      <c r="S28" s="80"/>
    </row>
    <row r="29" spans="2:19" ht="24" customHeight="1" x14ac:dyDescent="0.2">
      <c r="B29" s="101" t="s">
        <v>92</v>
      </c>
      <c r="C29" s="13"/>
      <c r="D29" s="13"/>
      <c r="E29" s="13" t="s">
        <v>93</v>
      </c>
      <c r="F29" s="13"/>
      <c r="G29" s="14"/>
      <c r="H29" s="13"/>
      <c r="I29" s="13"/>
      <c r="J29" s="15">
        <v>11359.29</v>
      </c>
      <c r="K29" s="102">
        <v>1.0789466857886459E-2</v>
      </c>
      <c r="M29" s="79"/>
      <c r="N29" s="1"/>
      <c r="O29" s="80"/>
      <c r="Q29" s="79"/>
      <c r="R29" s="1"/>
      <c r="S29" s="80"/>
    </row>
    <row r="30" spans="2:19" ht="26.1" hidden="1" customHeight="1" x14ac:dyDescent="0.2">
      <c r="B30" s="103" t="s">
        <v>94</v>
      </c>
      <c r="C30" s="17" t="s">
        <v>95</v>
      </c>
      <c r="D30" s="16" t="s">
        <v>61</v>
      </c>
      <c r="E30" s="16" t="s">
        <v>96</v>
      </c>
      <c r="F30" s="18" t="s">
        <v>97</v>
      </c>
      <c r="G30" s="17">
        <v>44.29</v>
      </c>
      <c r="H30" s="19">
        <v>54.76</v>
      </c>
      <c r="I30" s="19">
        <v>66.930000000000007</v>
      </c>
      <c r="J30" s="19">
        <v>2964.32</v>
      </c>
      <c r="K30" s="104">
        <v>2.8156189688061479E-3</v>
      </c>
      <c r="M30" s="79"/>
      <c r="N30" s="1"/>
      <c r="O30" s="80"/>
      <c r="Q30" s="79"/>
      <c r="R30" s="1"/>
      <c r="S30" s="80"/>
    </row>
    <row r="31" spans="2:19" ht="57" x14ac:dyDescent="0.2">
      <c r="B31" s="103" t="s">
        <v>98</v>
      </c>
      <c r="C31" s="17" t="s">
        <v>99</v>
      </c>
      <c r="D31" s="16" t="s">
        <v>61</v>
      </c>
      <c r="E31" s="16" t="s">
        <v>100</v>
      </c>
      <c r="F31" s="18" t="s">
        <v>101</v>
      </c>
      <c r="G31" s="17">
        <v>59</v>
      </c>
      <c r="H31" s="19">
        <v>60.77</v>
      </c>
      <c r="I31" s="19">
        <v>74.27</v>
      </c>
      <c r="J31" s="19">
        <v>4381.93</v>
      </c>
      <c r="K31" s="104">
        <v>4.1621165150795879E-3</v>
      </c>
      <c r="M31" s="81">
        <f>G31</f>
        <v>59</v>
      </c>
      <c r="N31" s="20">
        <f>I31</f>
        <v>74.27</v>
      </c>
      <c r="O31" s="80">
        <f>J31</f>
        <v>4381.93</v>
      </c>
      <c r="Q31" s="79"/>
      <c r="R31" s="1"/>
      <c r="S31" s="80"/>
    </row>
    <row r="32" spans="2:19" ht="24" hidden="1" customHeight="1" x14ac:dyDescent="0.2">
      <c r="B32" s="103" t="s">
        <v>102</v>
      </c>
      <c r="C32" s="17" t="s">
        <v>103</v>
      </c>
      <c r="D32" s="16" t="s">
        <v>37</v>
      </c>
      <c r="E32" s="16" t="s">
        <v>104</v>
      </c>
      <c r="F32" s="18" t="s">
        <v>101</v>
      </c>
      <c r="G32" s="17">
        <v>23</v>
      </c>
      <c r="H32" s="19">
        <v>142.75</v>
      </c>
      <c r="I32" s="19">
        <v>174.48</v>
      </c>
      <c r="J32" s="19">
        <v>4013.04</v>
      </c>
      <c r="K32" s="104">
        <v>3.8117313740007232E-3</v>
      </c>
      <c r="M32" s="79"/>
      <c r="N32" s="1"/>
      <c r="O32" s="80"/>
      <c r="Q32" s="79"/>
      <c r="R32" s="1"/>
      <c r="S32" s="80"/>
    </row>
    <row r="33" spans="2:23" ht="24" customHeight="1" x14ac:dyDescent="0.2">
      <c r="B33" s="101" t="s">
        <v>105</v>
      </c>
      <c r="C33" s="13"/>
      <c r="D33" s="13"/>
      <c r="E33" s="13" t="s">
        <v>106</v>
      </c>
      <c r="F33" s="13"/>
      <c r="G33" s="14"/>
      <c r="H33" s="13"/>
      <c r="I33" s="13"/>
      <c r="J33" s="15">
        <v>24864.07</v>
      </c>
      <c r="K33" s="102">
        <v>2.3616798164072667E-2</v>
      </c>
      <c r="M33" s="79"/>
      <c r="N33" s="1"/>
      <c r="O33" s="80"/>
      <c r="Q33" s="79"/>
      <c r="R33" s="1"/>
      <c r="S33" s="80"/>
    </row>
    <row r="34" spans="2:23" ht="26.1" hidden="1" customHeight="1" x14ac:dyDescent="0.2">
      <c r="B34" s="103" t="s">
        <v>107</v>
      </c>
      <c r="C34" s="17" t="s">
        <v>108</v>
      </c>
      <c r="D34" s="16" t="s">
        <v>37</v>
      </c>
      <c r="E34" s="16" t="s">
        <v>109</v>
      </c>
      <c r="F34" s="18" t="s">
        <v>97</v>
      </c>
      <c r="G34" s="17">
        <v>546.25</v>
      </c>
      <c r="H34" s="19">
        <v>27.54</v>
      </c>
      <c r="I34" s="19">
        <v>33.659999999999997</v>
      </c>
      <c r="J34" s="19">
        <v>18386.77</v>
      </c>
      <c r="K34" s="104">
        <v>1.7464422999904132E-2</v>
      </c>
      <c r="M34" s="79"/>
      <c r="N34" s="1"/>
      <c r="O34" s="80"/>
      <c r="Q34" s="79"/>
      <c r="R34" s="1"/>
      <c r="S34" s="80"/>
    </row>
    <row r="35" spans="2:23" ht="39" hidden="1" customHeight="1" x14ac:dyDescent="0.2">
      <c r="B35" s="103" t="s">
        <v>110</v>
      </c>
      <c r="C35" s="17" t="s">
        <v>111</v>
      </c>
      <c r="D35" s="16" t="s">
        <v>56</v>
      </c>
      <c r="E35" s="16" t="s">
        <v>112</v>
      </c>
      <c r="F35" s="18" t="s">
        <v>97</v>
      </c>
      <c r="G35" s="17">
        <v>546.25</v>
      </c>
      <c r="H35" s="19">
        <v>8.06</v>
      </c>
      <c r="I35" s="19">
        <v>9.85</v>
      </c>
      <c r="J35" s="19">
        <v>5380.56</v>
      </c>
      <c r="K35" s="104">
        <v>5.1106516161546689E-3</v>
      </c>
      <c r="M35" s="79"/>
      <c r="N35" s="1"/>
      <c r="O35" s="80"/>
      <c r="Q35" s="79"/>
      <c r="R35" s="1"/>
      <c r="S35" s="80"/>
    </row>
    <row r="36" spans="2:23" ht="28.5" x14ac:dyDescent="0.2">
      <c r="B36" s="103" t="s">
        <v>113</v>
      </c>
      <c r="C36" s="17" t="s">
        <v>114</v>
      </c>
      <c r="D36" s="16" t="s">
        <v>56</v>
      </c>
      <c r="E36" s="16" t="s">
        <v>115</v>
      </c>
      <c r="F36" s="18" t="s">
        <v>97</v>
      </c>
      <c r="G36" s="17">
        <v>27</v>
      </c>
      <c r="H36" s="19">
        <v>33.24</v>
      </c>
      <c r="I36" s="19">
        <v>40.619999999999997</v>
      </c>
      <c r="J36" s="19">
        <v>1096.74</v>
      </c>
      <c r="K36" s="104">
        <v>1.0417235480138631E-3</v>
      </c>
      <c r="M36" s="79"/>
      <c r="N36" s="1"/>
      <c r="O36" s="80"/>
      <c r="Q36" s="79">
        <f>SUM(T36:W36)-G36</f>
        <v>13.530000000000001</v>
      </c>
      <c r="R36" s="20">
        <f>I36</f>
        <v>40.619999999999997</v>
      </c>
      <c r="S36" s="80">
        <f>Q36*R36</f>
        <v>549.58860000000004</v>
      </c>
      <c r="T36" s="21">
        <f>2.5*2.5*2</f>
        <v>12.5</v>
      </c>
      <c r="U36" s="21">
        <f>2.5*2.5*2</f>
        <v>12.5</v>
      </c>
      <c r="V36" s="21">
        <v>10.73</v>
      </c>
      <c r="W36" s="12">
        <f>2*2*1.2</f>
        <v>4.8</v>
      </c>
    </row>
    <row r="37" spans="2:23" ht="24" customHeight="1" x14ac:dyDescent="0.2">
      <c r="B37" s="101" t="s">
        <v>116</v>
      </c>
      <c r="C37" s="13"/>
      <c r="D37" s="13"/>
      <c r="E37" s="13" t="s">
        <v>117</v>
      </c>
      <c r="F37" s="13"/>
      <c r="G37" s="14"/>
      <c r="H37" s="13"/>
      <c r="I37" s="13"/>
      <c r="J37" s="15">
        <v>51751.15</v>
      </c>
      <c r="K37" s="102">
        <v>4.9155124817000961E-2</v>
      </c>
      <c r="M37" s="79"/>
      <c r="N37" s="1"/>
      <c r="O37" s="80"/>
      <c r="Q37" s="79"/>
      <c r="R37" s="1"/>
      <c r="S37" s="80"/>
      <c r="T37" s="12">
        <f>SUM(T36:V36)</f>
        <v>35.730000000000004</v>
      </c>
    </row>
    <row r="38" spans="2:23" ht="24" customHeight="1" x14ac:dyDescent="0.2">
      <c r="B38" s="101" t="s">
        <v>118</v>
      </c>
      <c r="C38" s="13"/>
      <c r="D38" s="13"/>
      <c r="E38" s="13" t="s">
        <v>119</v>
      </c>
      <c r="F38" s="13"/>
      <c r="G38" s="14"/>
      <c r="H38" s="13"/>
      <c r="I38" s="13"/>
      <c r="J38" s="15">
        <v>4590.71</v>
      </c>
      <c r="K38" s="102">
        <v>4.3604233538511606E-3</v>
      </c>
      <c r="M38" s="79"/>
      <c r="N38" s="1"/>
      <c r="O38" s="80"/>
      <c r="Q38" s="79"/>
      <c r="R38" s="1"/>
      <c r="S38" s="80"/>
    </row>
    <row r="39" spans="2:23" ht="28.5" x14ac:dyDescent="0.2">
      <c r="B39" s="103" t="s">
        <v>120</v>
      </c>
      <c r="C39" s="17" t="s">
        <v>121</v>
      </c>
      <c r="D39" s="16" t="s">
        <v>37</v>
      </c>
      <c r="E39" s="16" t="s">
        <v>122</v>
      </c>
      <c r="F39" s="18" t="s">
        <v>101</v>
      </c>
      <c r="G39" s="17">
        <v>85.25</v>
      </c>
      <c r="H39" s="19">
        <v>44.06</v>
      </c>
      <c r="I39" s="19">
        <v>53.85</v>
      </c>
      <c r="J39" s="19">
        <v>4590.71</v>
      </c>
      <c r="K39" s="104">
        <v>4.3604233538511606E-3</v>
      </c>
      <c r="M39" s="81">
        <f>G39</f>
        <v>85.25</v>
      </c>
      <c r="N39" s="20">
        <f>I39</f>
        <v>53.85</v>
      </c>
      <c r="O39" s="80">
        <f>J39</f>
        <v>4590.71</v>
      </c>
      <c r="Q39" s="79"/>
      <c r="R39" s="1"/>
      <c r="S39" s="80"/>
    </row>
    <row r="40" spans="2:23" ht="24" customHeight="1" x14ac:dyDescent="0.2">
      <c r="B40" s="101" t="s">
        <v>123</v>
      </c>
      <c r="C40" s="13"/>
      <c r="D40" s="13"/>
      <c r="E40" s="13" t="s">
        <v>124</v>
      </c>
      <c r="F40" s="13"/>
      <c r="G40" s="14"/>
      <c r="H40" s="13"/>
      <c r="I40" s="13"/>
      <c r="J40" s="15">
        <v>47160.44</v>
      </c>
      <c r="K40" s="102">
        <v>4.4794701463149803E-2</v>
      </c>
      <c r="M40" s="79"/>
      <c r="N40" s="1"/>
      <c r="O40" s="80"/>
      <c r="Q40" s="79"/>
      <c r="R40" s="1"/>
      <c r="S40" s="80"/>
    </row>
    <row r="41" spans="2:23" ht="24" customHeight="1" x14ac:dyDescent="0.2">
      <c r="B41" s="101" t="s">
        <v>125</v>
      </c>
      <c r="C41" s="13"/>
      <c r="D41" s="13"/>
      <c r="E41" s="13" t="s">
        <v>126</v>
      </c>
      <c r="F41" s="13"/>
      <c r="G41" s="14"/>
      <c r="H41" s="13"/>
      <c r="I41" s="13"/>
      <c r="J41" s="15">
        <v>5455.42</v>
      </c>
      <c r="K41" s="102">
        <v>5.18175636733026E-3</v>
      </c>
      <c r="M41" s="79"/>
      <c r="N41" s="1"/>
      <c r="O41" s="80"/>
      <c r="Q41" s="79"/>
      <c r="R41" s="1"/>
      <c r="S41" s="80"/>
    </row>
    <row r="42" spans="2:23" ht="28.5" x14ac:dyDescent="0.2">
      <c r="B42" s="103" t="s">
        <v>127</v>
      </c>
      <c r="C42" s="17" t="s">
        <v>128</v>
      </c>
      <c r="D42" s="16" t="s">
        <v>37</v>
      </c>
      <c r="E42" s="16" t="s">
        <v>129</v>
      </c>
      <c r="F42" s="18" t="s">
        <v>63</v>
      </c>
      <c r="G42" s="17">
        <v>48.91</v>
      </c>
      <c r="H42" s="19">
        <v>91.26</v>
      </c>
      <c r="I42" s="19">
        <v>111.54</v>
      </c>
      <c r="J42" s="19">
        <v>5455.42</v>
      </c>
      <c r="K42" s="104">
        <v>5.18175636733026E-3</v>
      </c>
      <c r="M42" s="79"/>
      <c r="N42" s="1"/>
      <c r="O42" s="80"/>
      <c r="Q42" s="79">
        <f>(18.72+37.47)-G42</f>
        <v>7.2800000000000011</v>
      </c>
      <c r="R42" s="2">
        <f>I42</f>
        <v>111.54</v>
      </c>
      <c r="S42" s="80">
        <f>R42*Q42</f>
        <v>812.01120000000014</v>
      </c>
    </row>
    <row r="43" spans="2:23" ht="30" x14ac:dyDescent="0.2">
      <c r="B43" s="101" t="s">
        <v>130</v>
      </c>
      <c r="C43" s="13"/>
      <c r="D43" s="13"/>
      <c r="E43" s="13" t="s">
        <v>131</v>
      </c>
      <c r="F43" s="13"/>
      <c r="G43" s="14"/>
      <c r="H43" s="13"/>
      <c r="I43" s="13"/>
      <c r="J43" s="15">
        <v>726.25</v>
      </c>
      <c r="K43" s="102">
        <v>6.8981866873194019E-4</v>
      </c>
      <c r="M43" s="79"/>
      <c r="N43" s="1"/>
      <c r="O43" s="80"/>
      <c r="Q43" s="79"/>
      <c r="R43" s="1"/>
      <c r="S43" s="80"/>
    </row>
    <row r="44" spans="2:23" ht="28.5" x14ac:dyDescent="0.2">
      <c r="B44" s="103" t="s">
        <v>132</v>
      </c>
      <c r="C44" s="17" t="s">
        <v>133</v>
      </c>
      <c r="D44" s="16" t="s">
        <v>37</v>
      </c>
      <c r="E44" s="16" t="s">
        <v>134</v>
      </c>
      <c r="F44" s="18" t="s">
        <v>135</v>
      </c>
      <c r="G44" s="17">
        <v>581</v>
      </c>
      <c r="H44" s="19">
        <v>1.03</v>
      </c>
      <c r="I44" s="19">
        <v>1.25</v>
      </c>
      <c r="J44" s="19">
        <v>726.25</v>
      </c>
      <c r="K44" s="104">
        <v>6.8981866873194019E-4</v>
      </c>
      <c r="M44" s="79">
        <f>G44-188</f>
        <v>393</v>
      </c>
      <c r="N44" s="2">
        <f>I44</f>
        <v>1.25</v>
      </c>
      <c r="O44" s="80">
        <f>N44*M44</f>
        <v>491.25</v>
      </c>
      <c r="Q44" s="79"/>
      <c r="R44" s="1"/>
      <c r="S44" s="80"/>
    </row>
    <row r="45" spans="2:23" ht="24" customHeight="1" x14ac:dyDescent="0.2">
      <c r="B45" s="101" t="s">
        <v>136</v>
      </c>
      <c r="C45" s="13"/>
      <c r="D45" s="13"/>
      <c r="E45" s="13" t="s">
        <v>137</v>
      </c>
      <c r="F45" s="13"/>
      <c r="G45" s="14"/>
      <c r="H45" s="13"/>
      <c r="I45" s="13"/>
      <c r="J45" s="15">
        <v>40978.769999999997</v>
      </c>
      <c r="K45" s="102">
        <v>3.8923126427087604E-2</v>
      </c>
      <c r="M45" s="79"/>
      <c r="N45" s="1"/>
      <c r="O45" s="80"/>
      <c r="Q45" s="79"/>
      <c r="R45" s="1"/>
      <c r="S45" s="80"/>
    </row>
    <row r="46" spans="2:23" ht="39" customHeight="1" x14ac:dyDescent="0.2">
      <c r="B46" s="103" t="s">
        <v>138</v>
      </c>
      <c r="C46" s="17" t="s">
        <v>139</v>
      </c>
      <c r="D46" s="16" t="s">
        <v>23</v>
      </c>
      <c r="E46" s="16" t="s">
        <v>140</v>
      </c>
      <c r="F46" s="18" t="s">
        <v>97</v>
      </c>
      <c r="G46" s="17">
        <v>28.67</v>
      </c>
      <c r="H46" s="19">
        <v>578.12</v>
      </c>
      <c r="I46" s="19">
        <v>706.63</v>
      </c>
      <c r="J46" s="19">
        <v>20259.080000000002</v>
      </c>
      <c r="K46" s="104">
        <v>1.9242811146759208E-2</v>
      </c>
      <c r="M46" s="79">
        <f>G46-(3.393+3.07)</f>
        <v>22.207000000000001</v>
      </c>
      <c r="N46" s="2">
        <f>I46</f>
        <v>706.63</v>
      </c>
      <c r="O46" s="80">
        <f>N46*M46</f>
        <v>15692.13241</v>
      </c>
      <c r="Q46" s="79"/>
      <c r="R46" s="2"/>
      <c r="S46" s="80"/>
    </row>
    <row r="47" spans="2:23" ht="42.75" x14ac:dyDescent="0.2">
      <c r="B47" s="103" t="s">
        <v>141</v>
      </c>
      <c r="C47" s="17" t="s">
        <v>142</v>
      </c>
      <c r="D47" s="16" t="s">
        <v>61</v>
      </c>
      <c r="E47" s="16" t="s">
        <v>143</v>
      </c>
      <c r="F47" s="18" t="s">
        <v>63</v>
      </c>
      <c r="G47" s="17">
        <v>75.239999999999995</v>
      </c>
      <c r="H47" s="19">
        <v>30.8</v>
      </c>
      <c r="I47" s="19">
        <v>37.64</v>
      </c>
      <c r="J47" s="19">
        <v>2832.03</v>
      </c>
      <c r="K47" s="104">
        <v>2.6899651145045325E-3</v>
      </c>
      <c r="M47" s="81">
        <f>G47</f>
        <v>75.239999999999995</v>
      </c>
      <c r="N47" s="20">
        <f>I47</f>
        <v>37.64</v>
      </c>
      <c r="O47" s="80">
        <f>J47</f>
        <v>2832.03</v>
      </c>
      <c r="Q47" s="79"/>
      <c r="R47" s="22"/>
      <c r="S47" s="80"/>
      <c r="T47" s="23" t="s">
        <v>63</v>
      </c>
    </row>
    <row r="48" spans="2:23" ht="42.75" x14ac:dyDescent="0.2">
      <c r="B48" s="103" t="s">
        <v>144</v>
      </c>
      <c r="C48" s="17" t="s">
        <v>145</v>
      </c>
      <c r="D48" s="16" t="s">
        <v>61</v>
      </c>
      <c r="E48" s="16" t="s">
        <v>146</v>
      </c>
      <c r="F48" s="18" t="s">
        <v>63</v>
      </c>
      <c r="G48" s="17">
        <v>134</v>
      </c>
      <c r="H48" s="19">
        <v>109.22</v>
      </c>
      <c r="I48" s="19">
        <v>133.49</v>
      </c>
      <c r="J48" s="19">
        <v>17887.66</v>
      </c>
      <c r="K48" s="104">
        <v>1.6990350165823859E-2</v>
      </c>
      <c r="M48" s="81">
        <f>G48</f>
        <v>134</v>
      </c>
      <c r="N48" s="20">
        <f>I48</f>
        <v>133.49</v>
      </c>
      <c r="O48" s="80">
        <f>J48</f>
        <v>17887.66</v>
      </c>
      <c r="Q48" s="79"/>
      <c r="R48" s="1"/>
      <c r="S48" s="80"/>
    </row>
    <row r="49" spans="2:19" ht="42.75" x14ac:dyDescent="0.2">
      <c r="B49" s="90"/>
      <c r="C49" s="64" t="s">
        <v>817</v>
      </c>
      <c r="D49" s="64" t="s">
        <v>56</v>
      </c>
      <c r="E49" s="62" t="s">
        <v>818</v>
      </c>
      <c r="F49" s="64" t="s">
        <v>819</v>
      </c>
      <c r="G49" s="106"/>
      <c r="H49" s="65"/>
      <c r="I49" s="66"/>
      <c r="J49" s="66"/>
      <c r="K49" s="107"/>
      <c r="L49" s="9"/>
      <c r="M49" s="81"/>
      <c r="N49" s="20"/>
      <c r="O49" s="80"/>
      <c r="Q49" s="90">
        <v>142.65</v>
      </c>
      <c r="R49" s="65">
        <f>29.15*(1-(8.52/100))</f>
        <v>26.666419999999999</v>
      </c>
      <c r="S49" s="91">
        <f>Q49*R49</f>
        <v>3803.964813</v>
      </c>
    </row>
    <row r="50" spans="2:19" ht="24" customHeight="1" x14ac:dyDescent="0.2">
      <c r="B50" s="101" t="s">
        <v>147</v>
      </c>
      <c r="C50" s="13"/>
      <c r="D50" s="13"/>
      <c r="E50" s="13" t="s">
        <v>148</v>
      </c>
      <c r="F50" s="13"/>
      <c r="G50" s="14"/>
      <c r="H50" s="13"/>
      <c r="I50" s="13"/>
      <c r="J50" s="15">
        <v>80440.320000000007</v>
      </c>
      <c r="K50" s="102">
        <v>7.6405142106397608E-2</v>
      </c>
      <c r="M50" s="79"/>
      <c r="N50" s="1"/>
      <c r="O50" s="80"/>
      <c r="Q50" s="79"/>
      <c r="R50" s="1"/>
      <c r="S50" s="80"/>
    </row>
    <row r="51" spans="2:19" ht="24" customHeight="1" x14ac:dyDescent="0.2">
      <c r="B51" s="101" t="s">
        <v>149</v>
      </c>
      <c r="C51" s="13"/>
      <c r="D51" s="13"/>
      <c r="E51" s="13" t="s">
        <v>150</v>
      </c>
      <c r="F51" s="13"/>
      <c r="G51" s="14"/>
      <c r="H51" s="13"/>
      <c r="I51" s="13"/>
      <c r="J51" s="15">
        <v>29804.85</v>
      </c>
      <c r="K51" s="102">
        <v>2.8309730738389216E-2</v>
      </c>
      <c r="M51" s="79"/>
      <c r="N51" s="1"/>
      <c r="O51" s="80"/>
      <c r="Q51" s="79"/>
      <c r="R51" s="1"/>
      <c r="S51" s="80"/>
    </row>
    <row r="52" spans="2:19" ht="51.95" hidden="1" customHeight="1" x14ac:dyDescent="0.2">
      <c r="B52" s="103" t="s">
        <v>151</v>
      </c>
      <c r="C52" s="17" t="s">
        <v>152</v>
      </c>
      <c r="D52" s="16" t="s">
        <v>61</v>
      </c>
      <c r="E52" s="16" t="s">
        <v>153</v>
      </c>
      <c r="F52" s="18" t="s">
        <v>63</v>
      </c>
      <c r="G52" s="17">
        <v>165</v>
      </c>
      <c r="H52" s="19">
        <v>57.95</v>
      </c>
      <c r="I52" s="19">
        <v>70.83</v>
      </c>
      <c r="J52" s="19">
        <v>11686.95</v>
      </c>
      <c r="K52" s="104">
        <v>1.1100690245145265E-2</v>
      </c>
      <c r="M52" s="79"/>
      <c r="N52" s="1"/>
      <c r="O52" s="80"/>
      <c r="Q52" s="79"/>
      <c r="R52" s="1"/>
      <c r="S52" s="80"/>
    </row>
    <row r="53" spans="2:19" ht="42.75" x14ac:dyDescent="0.2">
      <c r="B53" s="103" t="s">
        <v>154</v>
      </c>
      <c r="C53" s="17" t="s">
        <v>155</v>
      </c>
      <c r="D53" s="16" t="s">
        <v>61</v>
      </c>
      <c r="E53" s="16" t="s">
        <v>156</v>
      </c>
      <c r="F53" s="18" t="s">
        <v>58</v>
      </c>
      <c r="G53" s="17">
        <v>6</v>
      </c>
      <c r="H53" s="19">
        <v>2470.4699999999998</v>
      </c>
      <c r="I53" s="19">
        <v>3019.65</v>
      </c>
      <c r="J53" s="19">
        <v>18117.900000000001</v>
      </c>
      <c r="K53" s="104">
        <v>1.7209040493243951E-2</v>
      </c>
      <c r="M53" s="79">
        <v>2</v>
      </c>
      <c r="N53" s="2">
        <f>I53</f>
        <v>3019.65</v>
      </c>
      <c r="O53" s="80">
        <f>N53*M53</f>
        <v>6039.3</v>
      </c>
      <c r="Q53" s="79"/>
      <c r="R53" s="1"/>
      <c r="S53" s="80"/>
    </row>
    <row r="54" spans="2:19" ht="24" customHeight="1" x14ac:dyDescent="0.2">
      <c r="B54" s="101" t="s">
        <v>157</v>
      </c>
      <c r="C54" s="13"/>
      <c r="D54" s="13"/>
      <c r="E54" s="13" t="s">
        <v>158</v>
      </c>
      <c r="F54" s="13"/>
      <c r="G54" s="14"/>
      <c r="H54" s="13"/>
      <c r="I54" s="13"/>
      <c r="J54" s="15">
        <v>46769.25</v>
      </c>
      <c r="K54" s="102">
        <v>4.4423134970865814E-2</v>
      </c>
      <c r="M54" s="79"/>
      <c r="N54" s="1"/>
      <c r="O54" s="80"/>
      <c r="Q54" s="79"/>
      <c r="R54" s="1"/>
      <c r="S54" s="80"/>
    </row>
    <row r="55" spans="2:19" ht="39" hidden="1" customHeight="1" x14ac:dyDescent="0.2">
      <c r="B55" s="103" t="s">
        <v>159</v>
      </c>
      <c r="C55" s="17" t="s">
        <v>160</v>
      </c>
      <c r="D55" s="16" t="s">
        <v>61</v>
      </c>
      <c r="E55" s="16" t="s">
        <v>161</v>
      </c>
      <c r="F55" s="18" t="s">
        <v>63</v>
      </c>
      <c r="G55" s="17">
        <v>165</v>
      </c>
      <c r="H55" s="19">
        <v>231.9</v>
      </c>
      <c r="I55" s="19">
        <v>283.45</v>
      </c>
      <c r="J55" s="19">
        <v>46769.25</v>
      </c>
      <c r="K55" s="104">
        <v>4.4423134970865814E-2</v>
      </c>
      <c r="M55" s="79"/>
      <c r="N55" s="1"/>
      <c r="O55" s="80"/>
      <c r="Q55" s="92"/>
      <c r="R55" s="1"/>
      <c r="S55" s="80"/>
    </row>
    <row r="56" spans="2:19" ht="39" customHeight="1" x14ac:dyDescent="0.2">
      <c r="B56" s="90"/>
      <c r="C56" s="64">
        <v>101979</v>
      </c>
      <c r="D56" s="64" t="s">
        <v>61</v>
      </c>
      <c r="E56" s="62" t="s">
        <v>820</v>
      </c>
      <c r="F56" s="64" t="s">
        <v>101</v>
      </c>
      <c r="G56" s="106"/>
      <c r="H56" s="65"/>
      <c r="I56" s="66"/>
      <c r="J56" s="66"/>
      <c r="K56" s="107"/>
      <c r="L56" s="9"/>
      <c r="M56" s="81"/>
      <c r="N56" s="20"/>
      <c r="O56" s="80"/>
      <c r="Q56" s="90">
        <v>59.3</v>
      </c>
      <c r="R56" s="65">
        <f>67.68*(1-(8.52/100))</f>
        <v>61.913664000000011</v>
      </c>
      <c r="S56" s="91">
        <f>Q56*R56</f>
        <v>3671.4802752000005</v>
      </c>
    </row>
    <row r="57" spans="2:19" ht="15.75" customHeight="1" x14ac:dyDescent="0.2">
      <c r="B57" s="101" t="s">
        <v>162</v>
      </c>
      <c r="C57" s="13"/>
      <c r="D57" s="13"/>
      <c r="E57" s="13" t="s">
        <v>163</v>
      </c>
      <c r="F57" s="13"/>
      <c r="G57" s="14"/>
      <c r="H57" s="13"/>
      <c r="I57" s="13"/>
      <c r="J57" s="15">
        <v>3866.22</v>
      </c>
      <c r="K57" s="102">
        <v>3.6722763971425844E-3</v>
      </c>
      <c r="M57" s="79"/>
      <c r="N57" s="1"/>
      <c r="O57" s="80"/>
      <c r="Q57" s="79"/>
      <c r="R57" s="1"/>
      <c r="S57" s="80"/>
    </row>
    <row r="58" spans="2:19" ht="65.099999999999994" hidden="1" customHeight="1" x14ac:dyDescent="0.2">
      <c r="B58" s="103" t="s">
        <v>164</v>
      </c>
      <c r="C58" s="17" t="s">
        <v>165</v>
      </c>
      <c r="D58" s="16" t="s">
        <v>61</v>
      </c>
      <c r="E58" s="16" t="s">
        <v>166</v>
      </c>
      <c r="F58" s="18" t="s">
        <v>101</v>
      </c>
      <c r="G58" s="17">
        <v>30</v>
      </c>
      <c r="H58" s="19">
        <v>67.05</v>
      </c>
      <c r="I58" s="19">
        <v>81.95</v>
      </c>
      <c r="J58" s="19">
        <v>2458.5</v>
      </c>
      <c r="K58" s="104">
        <v>2.3351727326367988E-3</v>
      </c>
      <c r="M58" s="79"/>
      <c r="N58" s="1"/>
      <c r="O58" s="80"/>
      <c r="Q58" s="79"/>
      <c r="R58" s="1"/>
      <c r="S58" s="80"/>
    </row>
    <row r="59" spans="2:19" ht="42.75" x14ac:dyDescent="0.2">
      <c r="B59" s="103" t="s">
        <v>167</v>
      </c>
      <c r="C59" s="17" t="s">
        <v>168</v>
      </c>
      <c r="D59" s="16" t="s">
        <v>61</v>
      </c>
      <c r="E59" s="16" t="s">
        <v>169</v>
      </c>
      <c r="F59" s="18" t="s">
        <v>101</v>
      </c>
      <c r="G59" s="17">
        <v>12</v>
      </c>
      <c r="H59" s="19">
        <v>95.98</v>
      </c>
      <c r="I59" s="19">
        <v>117.31</v>
      </c>
      <c r="J59" s="19">
        <v>1407.72</v>
      </c>
      <c r="K59" s="104">
        <v>1.3371036645057858E-3</v>
      </c>
      <c r="M59" s="79"/>
      <c r="N59" s="1"/>
      <c r="O59" s="80"/>
      <c r="Q59" s="79">
        <f>15-G59</f>
        <v>3</v>
      </c>
      <c r="R59" s="2">
        <f>I59</f>
        <v>117.31</v>
      </c>
      <c r="S59" s="80">
        <f>R59*Q59</f>
        <v>351.93</v>
      </c>
    </row>
    <row r="60" spans="2:19" ht="24" customHeight="1" x14ac:dyDescent="0.2">
      <c r="B60" s="101" t="s">
        <v>170</v>
      </c>
      <c r="C60" s="13"/>
      <c r="D60" s="13"/>
      <c r="E60" s="13" t="s">
        <v>171</v>
      </c>
      <c r="F60" s="13"/>
      <c r="G60" s="14"/>
      <c r="H60" s="13"/>
      <c r="I60" s="13"/>
      <c r="J60" s="15">
        <v>64674.55</v>
      </c>
      <c r="K60" s="102">
        <v>6.1430240250378389E-2</v>
      </c>
      <c r="M60" s="79"/>
      <c r="N60" s="1"/>
      <c r="O60" s="80"/>
      <c r="Q60" s="79"/>
      <c r="R60" s="1"/>
      <c r="S60" s="80"/>
    </row>
    <row r="61" spans="2:19" ht="24" customHeight="1" x14ac:dyDescent="0.2">
      <c r="B61" s="101" t="s">
        <v>172</v>
      </c>
      <c r="C61" s="13"/>
      <c r="D61" s="13"/>
      <c r="E61" s="13" t="s">
        <v>173</v>
      </c>
      <c r="F61" s="13"/>
      <c r="G61" s="14"/>
      <c r="H61" s="13"/>
      <c r="I61" s="13"/>
      <c r="J61" s="15">
        <v>11346.98</v>
      </c>
      <c r="K61" s="102">
        <v>1.077777437208668E-2</v>
      </c>
      <c r="M61" s="79"/>
      <c r="N61" s="1"/>
      <c r="O61" s="80"/>
      <c r="Q61" s="79"/>
      <c r="R61" s="1"/>
      <c r="S61" s="80"/>
    </row>
    <row r="62" spans="2:19" ht="24" customHeight="1" x14ac:dyDescent="0.2">
      <c r="B62" s="101" t="s">
        <v>174</v>
      </c>
      <c r="C62" s="13"/>
      <c r="D62" s="13"/>
      <c r="E62" s="13" t="s">
        <v>126</v>
      </c>
      <c r="F62" s="13"/>
      <c r="G62" s="14"/>
      <c r="H62" s="13"/>
      <c r="I62" s="13"/>
      <c r="J62" s="15">
        <v>8652.9699999999993</v>
      </c>
      <c r="K62" s="102">
        <v>8.2189056743234654E-3</v>
      </c>
      <c r="M62" s="79"/>
      <c r="N62" s="1"/>
      <c r="O62" s="80"/>
      <c r="Q62" s="79"/>
      <c r="R62" s="1"/>
      <c r="S62" s="80"/>
    </row>
    <row r="63" spans="2:19" ht="26.1" customHeight="1" x14ac:dyDescent="0.2">
      <c r="B63" s="103" t="s">
        <v>175</v>
      </c>
      <c r="C63" s="17" t="s">
        <v>176</v>
      </c>
      <c r="D63" s="16" t="s">
        <v>37</v>
      </c>
      <c r="E63" s="16" t="s">
        <v>177</v>
      </c>
      <c r="F63" s="18" t="s">
        <v>63</v>
      </c>
      <c r="G63" s="17">
        <v>65.34</v>
      </c>
      <c r="H63" s="19">
        <v>108.35</v>
      </c>
      <c r="I63" s="19">
        <v>132.43</v>
      </c>
      <c r="J63" s="19">
        <v>8652.9699999999993</v>
      </c>
      <c r="K63" s="104">
        <v>8.2189056743234654E-3</v>
      </c>
      <c r="M63" s="79">
        <f>G63-(3.1+31.28)</f>
        <v>30.96</v>
      </c>
      <c r="N63" s="2">
        <f>I63</f>
        <v>132.43</v>
      </c>
      <c r="O63" s="80">
        <f>N63*M63</f>
        <v>4100.0328</v>
      </c>
      <c r="Q63" s="79"/>
      <c r="R63" s="1"/>
      <c r="S63" s="80"/>
    </row>
    <row r="64" spans="2:19" ht="30" x14ac:dyDescent="0.2">
      <c r="B64" s="101" t="s">
        <v>178</v>
      </c>
      <c r="C64" s="13"/>
      <c r="D64" s="13"/>
      <c r="E64" s="13" t="s">
        <v>131</v>
      </c>
      <c r="F64" s="13"/>
      <c r="G64" s="14"/>
      <c r="H64" s="13"/>
      <c r="I64" s="13"/>
      <c r="J64" s="15">
        <v>1751.81</v>
      </c>
      <c r="K64" s="102">
        <v>1.6639328634372463E-3</v>
      </c>
      <c r="M64" s="79"/>
      <c r="N64" s="1"/>
      <c r="O64" s="80"/>
      <c r="Q64" s="79"/>
      <c r="R64" s="1"/>
      <c r="S64" s="80"/>
    </row>
    <row r="65" spans="2:19" ht="28.5" x14ac:dyDescent="0.2">
      <c r="B65" s="103" t="s">
        <v>179</v>
      </c>
      <c r="C65" s="17" t="s">
        <v>180</v>
      </c>
      <c r="D65" s="16" t="s">
        <v>37</v>
      </c>
      <c r="E65" s="16" t="s">
        <v>181</v>
      </c>
      <c r="F65" s="18" t="s">
        <v>135</v>
      </c>
      <c r="G65" s="17">
        <v>67.5</v>
      </c>
      <c r="H65" s="19">
        <v>15.82</v>
      </c>
      <c r="I65" s="19">
        <v>19.329999999999998</v>
      </c>
      <c r="J65" s="19">
        <v>1304.77</v>
      </c>
      <c r="K65" s="104">
        <v>1.239318009502752E-3</v>
      </c>
      <c r="M65" s="79"/>
      <c r="N65" s="1"/>
      <c r="O65" s="80"/>
      <c r="Q65" s="79">
        <f>332.1-G65</f>
        <v>264.60000000000002</v>
      </c>
      <c r="R65" s="2">
        <f>I65</f>
        <v>19.329999999999998</v>
      </c>
      <c r="S65" s="80">
        <f>R65*Q65</f>
        <v>5114.7179999999998</v>
      </c>
    </row>
    <row r="66" spans="2:19" ht="26.1" customHeight="1" x14ac:dyDescent="0.2">
      <c r="B66" s="103" t="s">
        <v>182</v>
      </c>
      <c r="C66" s="17" t="s">
        <v>183</v>
      </c>
      <c r="D66" s="16" t="s">
        <v>37</v>
      </c>
      <c r="E66" s="16" t="s">
        <v>184</v>
      </c>
      <c r="F66" s="18" t="s">
        <v>135</v>
      </c>
      <c r="G66" s="17">
        <v>32</v>
      </c>
      <c r="H66" s="19">
        <v>11.43</v>
      </c>
      <c r="I66" s="19">
        <v>13.97</v>
      </c>
      <c r="J66" s="19">
        <v>447.04</v>
      </c>
      <c r="K66" s="104">
        <v>4.2461485393449438E-4</v>
      </c>
      <c r="M66" s="79"/>
      <c r="N66" s="1"/>
      <c r="O66" s="80"/>
      <c r="Q66" s="79">
        <f>57.5-G66</f>
        <v>25.5</v>
      </c>
      <c r="R66" s="2">
        <f>I66</f>
        <v>13.97</v>
      </c>
      <c r="S66" s="80">
        <f>R66*Q66</f>
        <v>356.23500000000001</v>
      </c>
    </row>
    <row r="67" spans="2:19" ht="24" customHeight="1" x14ac:dyDescent="0.2">
      <c r="B67" s="101" t="s">
        <v>185</v>
      </c>
      <c r="C67" s="13"/>
      <c r="D67" s="13"/>
      <c r="E67" s="13" t="s">
        <v>186</v>
      </c>
      <c r="F67" s="13"/>
      <c r="G67" s="14"/>
      <c r="H67" s="13"/>
      <c r="I67" s="13"/>
      <c r="J67" s="15">
        <v>942.2</v>
      </c>
      <c r="K67" s="102">
        <v>8.9493583432596771E-4</v>
      </c>
      <c r="M67" s="79"/>
      <c r="N67" s="1"/>
      <c r="O67" s="80"/>
      <c r="Q67" s="79"/>
      <c r="R67" s="1"/>
      <c r="S67" s="80"/>
    </row>
    <row r="68" spans="2:19" ht="42.75" x14ac:dyDescent="0.2">
      <c r="B68" s="103" t="s">
        <v>187</v>
      </c>
      <c r="C68" s="17" t="s">
        <v>188</v>
      </c>
      <c r="D68" s="16" t="s">
        <v>61</v>
      </c>
      <c r="E68" s="16" t="s">
        <v>189</v>
      </c>
      <c r="F68" s="18" t="s">
        <v>97</v>
      </c>
      <c r="G68" s="17">
        <v>1.26</v>
      </c>
      <c r="H68" s="19">
        <v>454.47</v>
      </c>
      <c r="I68" s="19">
        <v>555.49</v>
      </c>
      <c r="J68" s="19">
        <v>699.91</v>
      </c>
      <c r="K68" s="104">
        <v>6.6479997856409259E-4</v>
      </c>
      <c r="M68" s="79"/>
      <c r="N68" s="1"/>
      <c r="O68" s="80"/>
      <c r="Q68" s="79">
        <f>(0.14+1.54)-G68</f>
        <v>0.42000000000000015</v>
      </c>
      <c r="R68" s="2">
        <f>I68</f>
        <v>555.49</v>
      </c>
      <c r="S68" s="80">
        <f>R68*Q68</f>
        <v>233.30580000000009</v>
      </c>
    </row>
    <row r="69" spans="2:19" ht="28.5" x14ac:dyDescent="0.2">
      <c r="B69" s="103" t="s">
        <v>190</v>
      </c>
      <c r="C69" s="17" t="s">
        <v>191</v>
      </c>
      <c r="D69" s="16" t="s">
        <v>61</v>
      </c>
      <c r="E69" s="16" t="s">
        <v>192</v>
      </c>
      <c r="F69" s="18" t="s">
        <v>97</v>
      </c>
      <c r="G69" s="17">
        <v>1.26</v>
      </c>
      <c r="H69" s="19">
        <v>157.33000000000001</v>
      </c>
      <c r="I69" s="19">
        <v>192.3</v>
      </c>
      <c r="J69" s="19">
        <v>242.29</v>
      </c>
      <c r="K69" s="104">
        <v>2.3013585576187512E-4</v>
      </c>
      <c r="M69" s="79"/>
      <c r="N69" s="1"/>
      <c r="O69" s="80"/>
      <c r="Q69" s="79">
        <f>(0.14+1.54)-G69</f>
        <v>0.42000000000000015</v>
      </c>
      <c r="R69" s="2">
        <f>I69</f>
        <v>192.3</v>
      </c>
      <c r="S69" s="80">
        <f>R69*Q69</f>
        <v>80.766000000000034</v>
      </c>
    </row>
    <row r="70" spans="2:19" ht="24" customHeight="1" x14ac:dyDescent="0.2">
      <c r="B70" s="101" t="s">
        <v>193</v>
      </c>
      <c r="C70" s="13"/>
      <c r="D70" s="13"/>
      <c r="E70" s="13" t="s">
        <v>194</v>
      </c>
      <c r="F70" s="13"/>
      <c r="G70" s="14"/>
      <c r="H70" s="13"/>
      <c r="I70" s="13"/>
      <c r="J70" s="15">
        <v>19884.939999999999</v>
      </c>
      <c r="K70" s="102">
        <v>1.888743936470156E-2</v>
      </c>
      <c r="M70" s="79"/>
      <c r="N70" s="1"/>
      <c r="O70" s="80"/>
      <c r="Q70" s="79"/>
      <c r="R70" s="1"/>
      <c r="S70" s="80"/>
    </row>
    <row r="71" spans="2:19" ht="24" customHeight="1" x14ac:dyDescent="0.2">
      <c r="B71" s="101" t="s">
        <v>195</v>
      </c>
      <c r="C71" s="13"/>
      <c r="D71" s="13"/>
      <c r="E71" s="13" t="s">
        <v>196</v>
      </c>
      <c r="F71" s="13"/>
      <c r="G71" s="14"/>
      <c r="H71" s="13"/>
      <c r="I71" s="13"/>
      <c r="J71" s="15">
        <v>9731.66</v>
      </c>
      <c r="K71" s="102">
        <v>9.2434846757340778E-3</v>
      </c>
      <c r="M71" s="79"/>
      <c r="N71" s="1"/>
      <c r="O71" s="80"/>
      <c r="Q71" s="79"/>
      <c r="R71" s="1"/>
      <c r="S71" s="80"/>
    </row>
    <row r="72" spans="2:19" ht="42.75" x14ac:dyDescent="0.2">
      <c r="B72" s="103" t="s">
        <v>197</v>
      </c>
      <c r="C72" s="17" t="s">
        <v>198</v>
      </c>
      <c r="D72" s="16" t="s">
        <v>61</v>
      </c>
      <c r="E72" s="16" t="s">
        <v>199</v>
      </c>
      <c r="F72" s="18" t="s">
        <v>63</v>
      </c>
      <c r="G72" s="17">
        <v>75.34</v>
      </c>
      <c r="H72" s="19">
        <v>105.68</v>
      </c>
      <c r="I72" s="19">
        <v>129.16999999999999</v>
      </c>
      <c r="J72" s="19">
        <v>9731.66</v>
      </c>
      <c r="K72" s="104">
        <v>9.2434846757340778E-3</v>
      </c>
      <c r="M72" s="79">
        <f>G72-35.77</f>
        <v>39.57</v>
      </c>
      <c r="N72" s="2">
        <f>I72</f>
        <v>129.16999999999999</v>
      </c>
      <c r="O72" s="80">
        <f>N72*M72</f>
        <v>5111.2568999999994</v>
      </c>
      <c r="Q72" s="79"/>
      <c r="R72" s="1"/>
      <c r="S72" s="80"/>
    </row>
    <row r="73" spans="2:19" ht="30" x14ac:dyDescent="0.2">
      <c r="B73" s="101" t="s">
        <v>200</v>
      </c>
      <c r="C73" s="13"/>
      <c r="D73" s="13"/>
      <c r="E73" s="13" t="s">
        <v>131</v>
      </c>
      <c r="F73" s="13"/>
      <c r="G73" s="14"/>
      <c r="H73" s="13"/>
      <c r="I73" s="13"/>
      <c r="J73" s="15">
        <v>6638.67</v>
      </c>
      <c r="K73" s="102">
        <v>6.3056502603107325E-3</v>
      </c>
      <c r="M73" s="79"/>
      <c r="N73" s="1"/>
      <c r="O73" s="80"/>
      <c r="Q73" s="79"/>
      <c r="R73" s="1"/>
      <c r="S73" s="80"/>
    </row>
    <row r="74" spans="2:19" ht="28.5" x14ac:dyDescent="0.2">
      <c r="B74" s="103" t="s">
        <v>201</v>
      </c>
      <c r="C74" s="17" t="s">
        <v>180</v>
      </c>
      <c r="D74" s="16" t="s">
        <v>37</v>
      </c>
      <c r="E74" s="16" t="s">
        <v>181</v>
      </c>
      <c r="F74" s="18" t="s">
        <v>135</v>
      </c>
      <c r="G74" s="17">
        <v>170.61</v>
      </c>
      <c r="H74" s="19">
        <v>15.82</v>
      </c>
      <c r="I74" s="19">
        <v>19.329999999999998</v>
      </c>
      <c r="J74" s="19">
        <v>3297.89</v>
      </c>
      <c r="K74" s="104">
        <v>3.1324558890525002E-3</v>
      </c>
      <c r="M74" s="79"/>
      <c r="N74" s="1"/>
      <c r="O74" s="80"/>
      <c r="Q74" s="79">
        <f>323-G74</f>
        <v>152.38999999999999</v>
      </c>
      <c r="R74" s="2">
        <f>I74</f>
        <v>19.329999999999998</v>
      </c>
      <c r="S74" s="80">
        <f>R74*Q74</f>
        <v>2945.6986999999995</v>
      </c>
    </row>
    <row r="75" spans="2:19" ht="26.1" customHeight="1" x14ac:dyDescent="0.2">
      <c r="B75" s="103" t="s">
        <v>202</v>
      </c>
      <c r="C75" s="17" t="s">
        <v>183</v>
      </c>
      <c r="D75" s="16" t="s">
        <v>37</v>
      </c>
      <c r="E75" s="16" t="s">
        <v>184</v>
      </c>
      <c r="F75" s="18" t="s">
        <v>135</v>
      </c>
      <c r="G75" s="17">
        <v>239.14</v>
      </c>
      <c r="H75" s="19">
        <v>11.43</v>
      </c>
      <c r="I75" s="19">
        <v>13.97</v>
      </c>
      <c r="J75" s="19">
        <v>3340.78</v>
      </c>
      <c r="K75" s="104">
        <v>3.1731943712582323E-3</v>
      </c>
      <c r="M75" s="79">
        <f>G75-68.6</f>
        <v>170.54</v>
      </c>
      <c r="N75" s="2">
        <f>I75</f>
        <v>13.97</v>
      </c>
      <c r="O75" s="80">
        <f>N75*M75</f>
        <v>2382.4438</v>
      </c>
      <c r="Q75" s="79"/>
      <c r="R75" s="1"/>
      <c r="S75" s="80"/>
    </row>
    <row r="76" spans="2:19" ht="24" customHeight="1" x14ac:dyDescent="0.2">
      <c r="B76" s="101" t="s">
        <v>203</v>
      </c>
      <c r="C76" s="13"/>
      <c r="D76" s="13"/>
      <c r="E76" s="13" t="s">
        <v>204</v>
      </c>
      <c r="F76" s="13"/>
      <c r="G76" s="14"/>
      <c r="H76" s="13"/>
      <c r="I76" s="13"/>
      <c r="J76" s="15">
        <v>3514.61</v>
      </c>
      <c r="K76" s="102">
        <v>3.3383044286567497E-3</v>
      </c>
      <c r="M76" s="79"/>
      <c r="N76" s="1"/>
      <c r="O76" s="80"/>
      <c r="Q76" s="79"/>
      <c r="R76" s="1"/>
      <c r="S76" s="80"/>
    </row>
    <row r="77" spans="2:19" ht="42.75" x14ac:dyDescent="0.2">
      <c r="B77" s="103" t="s">
        <v>205</v>
      </c>
      <c r="C77" s="17" t="s">
        <v>188</v>
      </c>
      <c r="D77" s="16" t="s">
        <v>61</v>
      </c>
      <c r="E77" s="16" t="s">
        <v>189</v>
      </c>
      <c r="F77" s="18" t="s">
        <v>97</v>
      </c>
      <c r="G77" s="17">
        <v>4.7</v>
      </c>
      <c r="H77" s="19">
        <v>454.47</v>
      </c>
      <c r="I77" s="19">
        <v>555.49</v>
      </c>
      <c r="J77" s="19">
        <v>2610.8000000000002</v>
      </c>
      <c r="K77" s="104">
        <v>2.4798328128404126E-3</v>
      </c>
      <c r="M77" s="79">
        <f>G77-3.87</f>
        <v>0.83000000000000007</v>
      </c>
      <c r="N77" s="2">
        <f>I77</f>
        <v>555.49</v>
      </c>
      <c r="O77" s="80">
        <f>N77*M77</f>
        <v>461.05670000000003</v>
      </c>
      <c r="Q77" s="79"/>
      <c r="R77" s="2"/>
      <c r="S77" s="80"/>
    </row>
    <row r="78" spans="2:19" ht="28.5" x14ac:dyDescent="0.2">
      <c r="B78" s="103" t="s">
        <v>206</v>
      </c>
      <c r="C78" s="17" t="s">
        <v>191</v>
      </c>
      <c r="D78" s="16" t="s">
        <v>61</v>
      </c>
      <c r="E78" s="16" t="s">
        <v>192</v>
      </c>
      <c r="F78" s="18" t="s">
        <v>97</v>
      </c>
      <c r="G78" s="17">
        <v>4.7</v>
      </c>
      <c r="H78" s="19">
        <v>157.33000000000001</v>
      </c>
      <c r="I78" s="19">
        <v>192.3</v>
      </c>
      <c r="J78" s="19">
        <v>903.81</v>
      </c>
      <c r="K78" s="104">
        <v>8.5847161581633724E-4</v>
      </c>
      <c r="M78" s="79">
        <f>G78-3.87</f>
        <v>0.83000000000000007</v>
      </c>
      <c r="N78" s="2">
        <f>I78</f>
        <v>192.3</v>
      </c>
      <c r="O78" s="80">
        <f>N78*M78</f>
        <v>159.60900000000004</v>
      </c>
      <c r="Q78" s="79"/>
      <c r="R78" s="1"/>
      <c r="S78" s="80"/>
    </row>
    <row r="79" spans="2:19" ht="24" hidden="1" customHeight="1" x14ac:dyDescent="0.2">
      <c r="B79" s="101" t="s">
        <v>207</v>
      </c>
      <c r="C79" s="13"/>
      <c r="D79" s="13"/>
      <c r="E79" s="13" t="s">
        <v>208</v>
      </c>
      <c r="F79" s="13"/>
      <c r="G79" s="14"/>
      <c r="H79" s="13"/>
      <c r="I79" s="13"/>
      <c r="J79" s="15">
        <v>27602.58</v>
      </c>
      <c r="K79" s="102">
        <v>2.6217934580608438E-2</v>
      </c>
      <c r="M79" s="79"/>
      <c r="N79" s="1"/>
      <c r="O79" s="80"/>
      <c r="Q79" s="79"/>
      <c r="R79" s="1"/>
      <c r="S79" s="80"/>
    </row>
    <row r="80" spans="2:19" ht="24" hidden="1" customHeight="1" x14ac:dyDescent="0.2">
      <c r="B80" s="101" t="s">
        <v>209</v>
      </c>
      <c r="C80" s="13"/>
      <c r="D80" s="13"/>
      <c r="E80" s="13" t="s">
        <v>196</v>
      </c>
      <c r="F80" s="13"/>
      <c r="G80" s="14"/>
      <c r="H80" s="13"/>
      <c r="I80" s="13"/>
      <c r="J80" s="15">
        <v>4186.8900000000003</v>
      </c>
      <c r="K80" s="102">
        <v>3.9768604281267793E-3</v>
      </c>
      <c r="M80" s="79"/>
      <c r="N80" s="1"/>
      <c r="O80" s="80"/>
      <c r="Q80" s="79"/>
      <c r="R80" s="1"/>
      <c r="S80" s="80"/>
    </row>
    <row r="81" spans="2:19" ht="39" hidden="1" customHeight="1" x14ac:dyDescent="0.2">
      <c r="B81" s="103" t="s">
        <v>210</v>
      </c>
      <c r="C81" s="17" t="s">
        <v>211</v>
      </c>
      <c r="D81" s="16" t="s">
        <v>61</v>
      </c>
      <c r="E81" s="16" t="s">
        <v>212</v>
      </c>
      <c r="F81" s="18" t="s">
        <v>63</v>
      </c>
      <c r="G81" s="17">
        <v>93.52</v>
      </c>
      <c r="H81" s="19">
        <v>36.630000000000003</v>
      </c>
      <c r="I81" s="19">
        <v>44.77</v>
      </c>
      <c r="J81" s="19">
        <v>4186.8900000000003</v>
      </c>
      <c r="K81" s="104">
        <v>3.9768604281267793E-3</v>
      </c>
      <c r="M81" s="79"/>
      <c r="N81" s="1"/>
      <c r="O81" s="80"/>
      <c r="Q81" s="79"/>
      <c r="R81" s="1"/>
      <c r="S81" s="80"/>
    </row>
    <row r="82" spans="2:19" ht="39" hidden="1" customHeight="1" x14ac:dyDescent="0.2">
      <c r="B82" s="101" t="s">
        <v>213</v>
      </c>
      <c r="C82" s="13"/>
      <c r="D82" s="13"/>
      <c r="E82" s="13" t="s">
        <v>214</v>
      </c>
      <c r="F82" s="13"/>
      <c r="G82" s="14"/>
      <c r="H82" s="13"/>
      <c r="I82" s="13"/>
      <c r="J82" s="15">
        <v>15025.5</v>
      </c>
      <c r="K82" s="102">
        <v>1.4271766481282986E-2</v>
      </c>
      <c r="M82" s="79"/>
      <c r="N82" s="1"/>
      <c r="O82" s="80"/>
      <c r="Q82" s="79"/>
      <c r="R82" s="1"/>
      <c r="S82" s="80"/>
    </row>
    <row r="83" spans="2:19" ht="26.1" hidden="1" customHeight="1" x14ac:dyDescent="0.2">
      <c r="B83" s="103" t="s">
        <v>215</v>
      </c>
      <c r="C83" s="17" t="s">
        <v>180</v>
      </c>
      <c r="D83" s="16" t="s">
        <v>37</v>
      </c>
      <c r="E83" s="16" t="s">
        <v>181</v>
      </c>
      <c r="F83" s="18" t="s">
        <v>135</v>
      </c>
      <c r="G83" s="17">
        <v>352</v>
      </c>
      <c r="H83" s="19">
        <v>15.82</v>
      </c>
      <c r="I83" s="19">
        <v>19.329999999999998</v>
      </c>
      <c r="J83" s="19">
        <v>6804.16</v>
      </c>
      <c r="K83" s="108">
        <v>6.4628386823258081E-3</v>
      </c>
      <c r="M83" s="79"/>
      <c r="N83" s="1"/>
      <c r="O83" s="80"/>
      <c r="Q83" s="79"/>
      <c r="R83" s="1"/>
      <c r="S83" s="80"/>
    </row>
    <row r="84" spans="2:19" ht="26.1" hidden="1" customHeight="1" x14ac:dyDescent="0.2">
      <c r="B84" s="103" t="s">
        <v>216</v>
      </c>
      <c r="C84" s="17" t="s">
        <v>183</v>
      </c>
      <c r="D84" s="16" t="s">
        <v>37</v>
      </c>
      <c r="E84" s="16" t="s">
        <v>184</v>
      </c>
      <c r="F84" s="18" t="s">
        <v>135</v>
      </c>
      <c r="G84" s="17">
        <v>588.5</v>
      </c>
      <c r="H84" s="19">
        <v>11.43</v>
      </c>
      <c r="I84" s="19">
        <v>13.97</v>
      </c>
      <c r="J84" s="19">
        <v>8221.34</v>
      </c>
      <c r="K84" s="108">
        <v>7.8089277989571767E-3</v>
      </c>
      <c r="M84" s="79"/>
      <c r="N84" s="1"/>
      <c r="O84" s="80"/>
      <c r="Q84" s="79"/>
      <c r="R84" s="1"/>
      <c r="S84" s="80"/>
    </row>
    <row r="85" spans="2:19" ht="24" hidden="1" customHeight="1" x14ac:dyDescent="0.2">
      <c r="B85" s="101" t="s">
        <v>217</v>
      </c>
      <c r="C85" s="13"/>
      <c r="D85" s="13"/>
      <c r="E85" s="13" t="s">
        <v>204</v>
      </c>
      <c r="F85" s="13"/>
      <c r="G85" s="14"/>
      <c r="H85" s="13"/>
      <c r="I85" s="13"/>
      <c r="J85" s="15">
        <v>8390.19</v>
      </c>
      <c r="K85" s="102">
        <v>7.9693076711986749E-3</v>
      </c>
      <c r="M85" s="79"/>
      <c r="N85" s="1"/>
      <c r="O85" s="80"/>
      <c r="Q85" s="79"/>
      <c r="R85" s="1"/>
      <c r="S85" s="80"/>
    </row>
    <row r="86" spans="2:19" ht="39" hidden="1" customHeight="1" x14ac:dyDescent="0.2">
      <c r="B86" s="103" t="s">
        <v>218</v>
      </c>
      <c r="C86" s="17" t="s">
        <v>188</v>
      </c>
      <c r="D86" s="16" t="s">
        <v>61</v>
      </c>
      <c r="E86" s="16" t="s">
        <v>189</v>
      </c>
      <c r="F86" s="18" t="s">
        <v>97</v>
      </c>
      <c r="G86" s="17">
        <v>11.22</v>
      </c>
      <c r="H86" s="19">
        <v>454.47</v>
      </c>
      <c r="I86" s="19">
        <v>555.49</v>
      </c>
      <c r="J86" s="19">
        <v>6232.59</v>
      </c>
      <c r="K86" s="104">
        <v>5.9199407043745312E-3</v>
      </c>
      <c r="M86" s="129"/>
      <c r="N86" s="130"/>
      <c r="O86" s="131"/>
      <c r="Q86" s="79"/>
      <c r="R86" s="1"/>
      <c r="S86" s="80"/>
    </row>
    <row r="87" spans="2:19" ht="26.1" hidden="1" customHeight="1" x14ac:dyDescent="0.2">
      <c r="B87" s="103" t="s">
        <v>219</v>
      </c>
      <c r="C87" s="17" t="s">
        <v>191</v>
      </c>
      <c r="D87" s="16" t="s">
        <v>61</v>
      </c>
      <c r="E87" s="16" t="s">
        <v>192</v>
      </c>
      <c r="F87" s="18" t="s">
        <v>97</v>
      </c>
      <c r="G87" s="17">
        <v>11.22</v>
      </c>
      <c r="H87" s="19">
        <v>157.33000000000001</v>
      </c>
      <c r="I87" s="19">
        <v>192.3</v>
      </c>
      <c r="J87" s="19">
        <v>2157.6</v>
      </c>
      <c r="K87" s="104">
        <v>2.0493669668241437E-3</v>
      </c>
      <c r="M87" s="129"/>
      <c r="N87" s="130"/>
      <c r="O87" s="131"/>
      <c r="Q87" s="79"/>
      <c r="R87" s="1"/>
      <c r="S87" s="80"/>
    </row>
    <row r="88" spans="2:19" ht="24" hidden="1" customHeight="1" x14ac:dyDescent="0.2">
      <c r="B88" s="101" t="s">
        <v>220</v>
      </c>
      <c r="C88" s="13"/>
      <c r="D88" s="13"/>
      <c r="E88" s="13" t="s">
        <v>221</v>
      </c>
      <c r="F88" s="13"/>
      <c r="G88" s="14"/>
      <c r="H88" s="13"/>
      <c r="I88" s="13"/>
      <c r="J88" s="15">
        <v>5840.05</v>
      </c>
      <c r="K88" s="102">
        <v>5.5470919329817106E-3</v>
      </c>
      <c r="M88" s="79"/>
      <c r="N88" s="1"/>
      <c r="O88" s="80"/>
      <c r="Q88" s="79"/>
      <c r="R88" s="1"/>
      <c r="S88" s="80"/>
    </row>
    <row r="89" spans="2:19" ht="26.1" hidden="1" customHeight="1" x14ac:dyDescent="0.2">
      <c r="B89" s="103" t="s">
        <v>222</v>
      </c>
      <c r="C89" s="17" t="s">
        <v>223</v>
      </c>
      <c r="D89" s="16" t="s">
        <v>61</v>
      </c>
      <c r="E89" s="16" t="s">
        <v>224</v>
      </c>
      <c r="F89" s="18" t="s">
        <v>101</v>
      </c>
      <c r="G89" s="17">
        <v>35.799999999999997</v>
      </c>
      <c r="H89" s="19">
        <v>82.27</v>
      </c>
      <c r="I89" s="19">
        <v>100.55</v>
      </c>
      <c r="J89" s="19">
        <v>3599.69</v>
      </c>
      <c r="K89" s="104">
        <v>3.4191165076043759E-3</v>
      </c>
      <c r="M89" s="79"/>
      <c r="N89" s="1"/>
      <c r="O89" s="80"/>
      <c r="Q89" s="79"/>
      <c r="R89" s="1"/>
      <c r="S89" s="80"/>
    </row>
    <row r="90" spans="2:19" ht="26.1" hidden="1" customHeight="1" x14ac:dyDescent="0.2">
      <c r="B90" s="103" t="s">
        <v>225</v>
      </c>
      <c r="C90" s="17" t="s">
        <v>226</v>
      </c>
      <c r="D90" s="16" t="s">
        <v>61</v>
      </c>
      <c r="E90" s="16" t="s">
        <v>227</v>
      </c>
      <c r="F90" s="18" t="s">
        <v>101</v>
      </c>
      <c r="G90" s="17">
        <v>23.7</v>
      </c>
      <c r="H90" s="19">
        <v>77.34</v>
      </c>
      <c r="I90" s="19">
        <v>94.53</v>
      </c>
      <c r="J90" s="19">
        <v>2240.36</v>
      </c>
      <c r="K90" s="104">
        <v>2.1279754253773352E-3</v>
      </c>
      <c r="M90" s="79"/>
      <c r="N90" s="1"/>
      <c r="O90" s="80"/>
      <c r="Q90" s="79"/>
      <c r="R90" s="1"/>
      <c r="S90" s="80"/>
    </row>
    <row r="91" spans="2:19" ht="24" customHeight="1" x14ac:dyDescent="0.2">
      <c r="B91" s="101" t="s">
        <v>228</v>
      </c>
      <c r="C91" s="13"/>
      <c r="D91" s="13"/>
      <c r="E91" s="13" t="s">
        <v>229</v>
      </c>
      <c r="F91" s="13"/>
      <c r="G91" s="14"/>
      <c r="H91" s="13"/>
      <c r="I91" s="13"/>
      <c r="J91" s="15">
        <v>75790.84</v>
      </c>
      <c r="K91" s="102">
        <v>7.1988896868675364E-2</v>
      </c>
      <c r="M91" s="79"/>
      <c r="N91" s="1"/>
      <c r="O91" s="80"/>
      <c r="Q91" s="79"/>
      <c r="R91" s="1"/>
      <c r="S91" s="80"/>
    </row>
    <row r="92" spans="2:19" ht="24" customHeight="1" x14ac:dyDescent="0.2">
      <c r="B92" s="101" t="s">
        <v>230</v>
      </c>
      <c r="C92" s="13"/>
      <c r="D92" s="13"/>
      <c r="E92" s="13" t="s">
        <v>231</v>
      </c>
      <c r="F92" s="13"/>
      <c r="G92" s="14"/>
      <c r="H92" s="13"/>
      <c r="I92" s="13"/>
      <c r="J92" s="15">
        <v>20914.91</v>
      </c>
      <c r="K92" s="102">
        <v>1.9865742337829045E-2</v>
      </c>
      <c r="M92" s="79"/>
      <c r="N92" s="1"/>
      <c r="O92" s="80"/>
      <c r="Q92" s="79"/>
      <c r="R92" s="1"/>
      <c r="S92" s="80"/>
    </row>
    <row r="93" spans="2:19" ht="71.25" x14ac:dyDescent="0.2">
      <c r="B93" s="103" t="s">
        <v>232</v>
      </c>
      <c r="C93" s="17" t="s">
        <v>233</v>
      </c>
      <c r="D93" s="16" t="s">
        <v>61</v>
      </c>
      <c r="E93" s="16" t="s">
        <v>234</v>
      </c>
      <c r="F93" s="18" t="s">
        <v>63</v>
      </c>
      <c r="G93" s="17">
        <v>234</v>
      </c>
      <c r="H93" s="19">
        <v>69.260000000000005</v>
      </c>
      <c r="I93" s="19">
        <v>84.65</v>
      </c>
      <c r="J93" s="19">
        <v>19808.099999999999</v>
      </c>
      <c r="K93" s="108">
        <v>1.8814453937499684E-2</v>
      </c>
      <c r="M93" s="79"/>
      <c r="N93" s="1"/>
      <c r="O93" s="80"/>
      <c r="Q93" s="79">
        <f>268.74-G93</f>
        <v>34.740000000000009</v>
      </c>
      <c r="R93" s="2">
        <f>I93</f>
        <v>84.65</v>
      </c>
      <c r="S93" s="80">
        <f>R93*Q93</f>
        <v>2940.7410000000009</v>
      </c>
    </row>
    <row r="94" spans="2:19" ht="71.25" x14ac:dyDescent="0.2">
      <c r="B94" s="103" t="s">
        <v>235</v>
      </c>
      <c r="C94" s="17" t="s">
        <v>236</v>
      </c>
      <c r="D94" s="16" t="s">
        <v>61</v>
      </c>
      <c r="E94" s="16" t="s">
        <v>237</v>
      </c>
      <c r="F94" s="18" t="s">
        <v>63</v>
      </c>
      <c r="G94" s="17">
        <v>9.9</v>
      </c>
      <c r="H94" s="19">
        <v>81.430000000000007</v>
      </c>
      <c r="I94" s="19">
        <v>99.53</v>
      </c>
      <c r="J94" s="19">
        <v>985.34</v>
      </c>
      <c r="K94" s="104">
        <v>9.3591177562592773E-4</v>
      </c>
      <c r="M94" s="79">
        <f>G94</f>
        <v>9.9</v>
      </c>
      <c r="N94" s="2">
        <f>I94</f>
        <v>99.53</v>
      </c>
      <c r="O94" s="80">
        <f>J94</f>
        <v>985.34</v>
      </c>
      <c r="Q94" s="79"/>
      <c r="R94" s="1"/>
      <c r="S94" s="80"/>
    </row>
    <row r="95" spans="2:19" ht="51.95" customHeight="1" x14ac:dyDescent="0.2">
      <c r="B95" s="103" t="s">
        <v>238</v>
      </c>
      <c r="C95" s="17" t="s">
        <v>239</v>
      </c>
      <c r="D95" s="16" t="s">
        <v>61</v>
      </c>
      <c r="E95" s="16" t="s">
        <v>240</v>
      </c>
      <c r="F95" s="18" t="s">
        <v>63</v>
      </c>
      <c r="G95" s="17">
        <v>1</v>
      </c>
      <c r="H95" s="19">
        <v>39.590000000000003</v>
      </c>
      <c r="I95" s="19">
        <v>48.39</v>
      </c>
      <c r="J95" s="19">
        <v>48.39</v>
      </c>
      <c r="K95" s="104">
        <v>4.5962582278745041E-5</v>
      </c>
      <c r="M95" s="79">
        <f t="shared" ref="M95:M96" si="1">G95</f>
        <v>1</v>
      </c>
      <c r="N95" s="2">
        <f t="shared" ref="N95:N96" si="2">I95</f>
        <v>48.39</v>
      </c>
      <c r="O95" s="80">
        <f>J95</f>
        <v>48.39</v>
      </c>
      <c r="Q95" s="79"/>
      <c r="R95" s="1"/>
      <c r="S95" s="80"/>
    </row>
    <row r="96" spans="2:19" ht="51.95" customHeight="1" x14ac:dyDescent="0.2">
      <c r="B96" s="103" t="s">
        <v>241</v>
      </c>
      <c r="C96" s="17" t="s">
        <v>242</v>
      </c>
      <c r="D96" s="16" t="s">
        <v>61</v>
      </c>
      <c r="E96" s="16" t="s">
        <v>243</v>
      </c>
      <c r="F96" s="18" t="s">
        <v>63</v>
      </c>
      <c r="G96" s="17">
        <v>1</v>
      </c>
      <c r="H96" s="19">
        <v>59.79</v>
      </c>
      <c r="I96" s="19">
        <v>73.08</v>
      </c>
      <c r="J96" s="19">
        <v>73.08</v>
      </c>
      <c r="K96" s="104">
        <v>6.9414042424688731E-5</v>
      </c>
      <c r="M96" s="79">
        <f t="shared" si="1"/>
        <v>1</v>
      </c>
      <c r="N96" s="2">
        <f t="shared" si="2"/>
        <v>73.08</v>
      </c>
      <c r="O96" s="80">
        <f>J96</f>
        <v>73.08</v>
      </c>
      <c r="Q96" s="79"/>
      <c r="R96" s="1"/>
      <c r="S96" s="80"/>
    </row>
    <row r="97" spans="2:19" ht="24" customHeight="1" x14ac:dyDescent="0.2">
      <c r="B97" s="101" t="s">
        <v>244</v>
      </c>
      <c r="C97" s="13"/>
      <c r="D97" s="13"/>
      <c r="E97" s="13" t="s">
        <v>245</v>
      </c>
      <c r="F97" s="13"/>
      <c r="G97" s="14"/>
      <c r="H97" s="13"/>
      <c r="I97" s="13"/>
      <c r="J97" s="15">
        <v>54875.93</v>
      </c>
      <c r="K97" s="102">
        <v>5.2123154530846323E-2</v>
      </c>
      <c r="M97" s="79"/>
      <c r="N97" s="1"/>
      <c r="O97" s="80"/>
      <c r="Q97" s="79"/>
      <c r="R97" s="1"/>
      <c r="S97" s="80"/>
    </row>
    <row r="98" spans="2:19" ht="64.5" customHeight="1" x14ac:dyDescent="0.2">
      <c r="B98" s="103" t="s">
        <v>246</v>
      </c>
      <c r="C98" s="17" t="s">
        <v>247</v>
      </c>
      <c r="D98" s="16" t="s">
        <v>56</v>
      </c>
      <c r="E98" s="16" t="s">
        <v>248</v>
      </c>
      <c r="F98" s="18" t="s">
        <v>63</v>
      </c>
      <c r="G98" s="17">
        <v>40.950000000000003</v>
      </c>
      <c r="H98" s="19">
        <v>485.18</v>
      </c>
      <c r="I98" s="19">
        <v>593.03</v>
      </c>
      <c r="J98" s="19">
        <v>24284.57</v>
      </c>
      <c r="K98" s="104">
        <v>2.306636798365248E-2</v>
      </c>
      <c r="M98" s="79">
        <f>G98-((19.5-1.5-1.5)*2.1)</f>
        <v>6.3000000000000043</v>
      </c>
      <c r="N98" s="2">
        <f>I98</f>
        <v>593.03</v>
      </c>
      <c r="O98" s="80">
        <f>N98*M98</f>
        <v>3736.0890000000022</v>
      </c>
      <c r="Q98" s="79"/>
      <c r="R98" s="1"/>
      <c r="S98" s="80"/>
    </row>
    <row r="99" spans="2:19" ht="28.5" x14ac:dyDescent="0.2">
      <c r="B99" s="103" t="s">
        <v>249</v>
      </c>
      <c r="C99" s="17" t="s">
        <v>250</v>
      </c>
      <c r="D99" s="16" t="s">
        <v>37</v>
      </c>
      <c r="E99" s="16" t="s">
        <v>251</v>
      </c>
      <c r="F99" s="18" t="s">
        <v>101</v>
      </c>
      <c r="G99" s="17">
        <v>118.7</v>
      </c>
      <c r="H99" s="19">
        <v>210.85</v>
      </c>
      <c r="I99" s="19">
        <v>257.72000000000003</v>
      </c>
      <c r="J99" s="19">
        <v>30591.360000000001</v>
      </c>
      <c r="K99" s="104">
        <v>2.905678654719384E-2</v>
      </c>
      <c r="M99" s="79">
        <f>G99-(45+45+18)</f>
        <v>10.700000000000003</v>
      </c>
      <c r="N99" s="24">
        <f>I99</f>
        <v>257.72000000000003</v>
      </c>
      <c r="O99" s="80">
        <f>N99*M99</f>
        <v>2757.6040000000012</v>
      </c>
      <c r="Q99" s="79"/>
      <c r="R99" s="1"/>
      <c r="S99" s="80"/>
    </row>
    <row r="100" spans="2:19" ht="27" customHeight="1" x14ac:dyDescent="0.2">
      <c r="B100" s="101" t="s">
        <v>252</v>
      </c>
      <c r="C100" s="13"/>
      <c r="D100" s="13"/>
      <c r="E100" s="13" t="s">
        <v>253</v>
      </c>
      <c r="F100" s="13"/>
      <c r="G100" s="14"/>
      <c r="H100" s="13"/>
      <c r="I100" s="13"/>
      <c r="J100" s="15">
        <v>58917.78</v>
      </c>
      <c r="K100" s="102">
        <v>5.5962250690865863E-2</v>
      </c>
      <c r="M100" s="79"/>
      <c r="N100" s="1"/>
      <c r="O100" s="80"/>
      <c r="Q100" s="79"/>
      <c r="R100" s="1"/>
      <c r="S100" s="80"/>
    </row>
    <row r="101" spans="2:19" ht="24" customHeight="1" x14ac:dyDescent="0.2">
      <c r="B101" s="101" t="s">
        <v>254</v>
      </c>
      <c r="C101" s="13"/>
      <c r="D101" s="13"/>
      <c r="E101" s="13" t="s">
        <v>255</v>
      </c>
      <c r="F101" s="13"/>
      <c r="G101" s="14"/>
      <c r="H101" s="13"/>
      <c r="I101" s="13"/>
      <c r="J101" s="15">
        <v>26290.7</v>
      </c>
      <c r="K101" s="102">
        <v>2.4971863234465846E-2</v>
      </c>
      <c r="M101" s="79"/>
      <c r="N101" s="1"/>
      <c r="O101" s="80"/>
      <c r="Q101" s="79"/>
      <c r="R101" s="1"/>
      <c r="S101" s="80"/>
    </row>
    <row r="102" spans="2:19" ht="57" x14ac:dyDescent="0.2">
      <c r="B102" s="103" t="s">
        <v>256</v>
      </c>
      <c r="C102" s="17" t="s">
        <v>257</v>
      </c>
      <c r="D102" s="16" t="s">
        <v>61</v>
      </c>
      <c r="E102" s="16" t="s">
        <v>258</v>
      </c>
      <c r="F102" s="18" t="s">
        <v>63</v>
      </c>
      <c r="G102" s="17">
        <v>467.99</v>
      </c>
      <c r="H102" s="19">
        <v>2.96</v>
      </c>
      <c r="I102" s="19">
        <v>3.61</v>
      </c>
      <c r="J102" s="19">
        <v>1689.44</v>
      </c>
      <c r="K102" s="104">
        <v>1.6046915686092793E-3</v>
      </c>
      <c r="M102" s="79"/>
      <c r="N102" s="1"/>
      <c r="O102" s="80"/>
      <c r="Q102" s="79"/>
      <c r="R102" s="1"/>
      <c r="S102" s="80"/>
    </row>
    <row r="103" spans="2:19" ht="57" x14ac:dyDescent="0.2">
      <c r="B103" s="103" t="s">
        <v>259</v>
      </c>
      <c r="C103" s="17" t="s">
        <v>260</v>
      </c>
      <c r="D103" s="16" t="s">
        <v>61</v>
      </c>
      <c r="E103" s="16" t="s">
        <v>261</v>
      </c>
      <c r="F103" s="18" t="s">
        <v>63</v>
      </c>
      <c r="G103" s="17">
        <v>119.78</v>
      </c>
      <c r="H103" s="19">
        <v>69.55</v>
      </c>
      <c r="I103" s="19">
        <v>85.01</v>
      </c>
      <c r="J103" s="19">
        <v>10182.49</v>
      </c>
      <c r="K103" s="108">
        <v>9.6716994095370663E-3</v>
      </c>
      <c r="M103" s="79">
        <f>G103-111.93</f>
        <v>7.8499999999999943</v>
      </c>
      <c r="N103" s="2">
        <f>I103</f>
        <v>85.01</v>
      </c>
      <c r="O103" s="80">
        <f>N103*M103</f>
        <v>667.32849999999951</v>
      </c>
      <c r="Q103" s="79"/>
      <c r="R103" s="1"/>
      <c r="S103" s="80"/>
    </row>
    <row r="104" spans="2:19" ht="71.25" x14ac:dyDescent="0.2">
      <c r="B104" s="103" t="s">
        <v>262</v>
      </c>
      <c r="C104" s="17" t="s">
        <v>263</v>
      </c>
      <c r="D104" s="16" t="s">
        <v>61</v>
      </c>
      <c r="E104" s="16" t="s">
        <v>264</v>
      </c>
      <c r="F104" s="18" t="s">
        <v>63</v>
      </c>
      <c r="G104" s="17">
        <v>467.99</v>
      </c>
      <c r="H104" s="19">
        <v>25.21</v>
      </c>
      <c r="I104" s="19">
        <v>30.81</v>
      </c>
      <c r="J104" s="19">
        <v>14418.77</v>
      </c>
      <c r="K104" s="104">
        <v>1.3695472256319501E-2</v>
      </c>
      <c r="M104" s="79"/>
      <c r="N104" s="1"/>
      <c r="O104" s="80"/>
      <c r="Q104" s="79"/>
      <c r="R104" s="1"/>
      <c r="S104" s="80"/>
    </row>
    <row r="105" spans="2:19" ht="24" customHeight="1" x14ac:dyDescent="0.2">
      <c r="B105" s="101" t="s">
        <v>265</v>
      </c>
      <c r="C105" s="13"/>
      <c r="D105" s="13"/>
      <c r="E105" s="13" t="s">
        <v>266</v>
      </c>
      <c r="F105" s="13"/>
      <c r="G105" s="14"/>
      <c r="H105" s="13"/>
      <c r="I105" s="13"/>
      <c r="J105" s="15">
        <v>32627.08</v>
      </c>
      <c r="K105" s="102">
        <v>3.0990387456400016E-2</v>
      </c>
      <c r="M105" s="79"/>
      <c r="N105" s="1"/>
      <c r="O105" s="80"/>
      <c r="Q105" s="79"/>
      <c r="R105" s="1"/>
      <c r="S105" s="80"/>
    </row>
    <row r="106" spans="2:19" ht="65.099999999999994" customHeight="1" x14ac:dyDescent="0.2">
      <c r="B106" s="103" t="s">
        <v>267</v>
      </c>
      <c r="C106" s="17" t="s">
        <v>268</v>
      </c>
      <c r="D106" s="16" t="s">
        <v>56</v>
      </c>
      <c r="E106" s="16" t="s">
        <v>269</v>
      </c>
      <c r="F106" s="18" t="s">
        <v>63</v>
      </c>
      <c r="G106" s="17">
        <v>41.7</v>
      </c>
      <c r="H106" s="19">
        <v>79.22</v>
      </c>
      <c r="I106" s="19">
        <v>96.83</v>
      </c>
      <c r="J106" s="19">
        <v>4037.81</v>
      </c>
      <c r="K106" s="108">
        <v>3.83525882105682E-3</v>
      </c>
      <c r="M106" s="79">
        <f>G106-((4.2+11.69+8+12-0.94-1-2.5)*0.6)</f>
        <v>22.830000000000002</v>
      </c>
      <c r="N106" s="2">
        <f>I106</f>
        <v>96.83</v>
      </c>
      <c r="O106" s="80">
        <f>N106*M106</f>
        <v>2210.6289000000002</v>
      </c>
      <c r="Q106" s="79"/>
      <c r="R106" s="1"/>
      <c r="S106" s="80"/>
    </row>
    <row r="107" spans="2:19" ht="65.099999999999994" customHeight="1" x14ac:dyDescent="0.2">
      <c r="B107" s="103" t="s">
        <v>270</v>
      </c>
      <c r="C107" s="17" t="s">
        <v>271</v>
      </c>
      <c r="D107" s="16" t="s">
        <v>56</v>
      </c>
      <c r="E107" s="16" t="s">
        <v>272</v>
      </c>
      <c r="F107" s="18" t="s">
        <v>63</v>
      </c>
      <c r="G107" s="17">
        <v>70.41</v>
      </c>
      <c r="H107" s="19">
        <v>260.11</v>
      </c>
      <c r="I107" s="19">
        <v>317.93</v>
      </c>
      <c r="J107" s="19">
        <v>22385.45</v>
      </c>
      <c r="K107" s="108">
        <v>2.1262514723532407E-2</v>
      </c>
      <c r="M107" s="79"/>
      <c r="N107" s="1"/>
      <c r="O107" s="80"/>
      <c r="Q107" s="79">
        <f>((11*15)-(94.59))-G107+((52*0.45))</f>
        <v>23.400000000000002</v>
      </c>
      <c r="R107" s="22">
        <f>I107</f>
        <v>317.93</v>
      </c>
      <c r="S107" s="80">
        <f>Q107*R107</f>
        <v>7439.5620000000008</v>
      </c>
    </row>
    <row r="108" spans="2:19" ht="28.5" x14ac:dyDescent="0.2">
      <c r="B108" s="103" t="s">
        <v>273</v>
      </c>
      <c r="C108" s="17" t="s">
        <v>274</v>
      </c>
      <c r="D108" s="16" t="s">
        <v>23</v>
      </c>
      <c r="E108" s="16" t="s">
        <v>275</v>
      </c>
      <c r="F108" s="18" t="s">
        <v>63</v>
      </c>
      <c r="G108" s="17">
        <v>70.41</v>
      </c>
      <c r="H108" s="19">
        <v>72.09</v>
      </c>
      <c r="I108" s="19">
        <v>88.11</v>
      </c>
      <c r="J108" s="19">
        <v>6203.82</v>
      </c>
      <c r="K108" s="108">
        <v>5.8926139118107889E-3</v>
      </c>
      <c r="M108" s="79"/>
      <c r="N108" s="1"/>
      <c r="O108" s="80"/>
      <c r="Q108" s="79">
        <f>((11*15)-(94.59))-G108+((52*0.45))</f>
        <v>23.400000000000002</v>
      </c>
      <c r="R108" s="22">
        <f>I108</f>
        <v>88.11</v>
      </c>
      <c r="S108" s="80">
        <f>Q108*R108</f>
        <v>2061.7740000000003</v>
      </c>
    </row>
    <row r="109" spans="2:19" ht="24" hidden="1" customHeight="1" x14ac:dyDescent="0.2">
      <c r="B109" s="101" t="s">
        <v>276</v>
      </c>
      <c r="C109" s="13"/>
      <c r="D109" s="13"/>
      <c r="E109" s="13" t="s">
        <v>277</v>
      </c>
      <c r="F109" s="13"/>
      <c r="G109" s="14"/>
      <c r="H109" s="13"/>
      <c r="I109" s="13"/>
      <c r="J109" s="15">
        <v>15358.03</v>
      </c>
      <c r="K109" s="102">
        <v>1.4587615571697349E-2</v>
      </c>
      <c r="M109" s="79"/>
      <c r="N109" s="1"/>
      <c r="O109" s="80"/>
      <c r="Q109" s="79"/>
      <c r="R109" s="1"/>
      <c r="S109" s="80"/>
    </row>
    <row r="110" spans="2:19" ht="24" hidden="1" customHeight="1" x14ac:dyDescent="0.2">
      <c r="B110" s="101" t="s">
        <v>278</v>
      </c>
      <c r="C110" s="13"/>
      <c r="D110" s="13"/>
      <c r="E110" s="13" t="s">
        <v>279</v>
      </c>
      <c r="F110" s="13"/>
      <c r="G110" s="14"/>
      <c r="H110" s="13"/>
      <c r="I110" s="13"/>
      <c r="J110" s="15">
        <v>15358.03</v>
      </c>
      <c r="K110" s="102">
        <v>1.4587615571697349E-2</v>
      </c>
      <c r="M110" s="79"/>
      <c r="N110" s="1"/>
      <c r="O110" s="80"/>
      <c r="Q110" s="79"/>
      <c r="R110" s="1"/>
      <c r="S110" s="80"/>
    </row>
    <row r="111" spans="2:19" ht="39" hidden="1" customHeight="1" x14ac:dyDescent="0.2">
      <c r="B111" s="103" t="s">
        <v>280</v>
      </c>
      <c r="C111" s="17" t="s">
        <v>281</v>
      </c>
      <c r="D111" s="16" t="s">
        <v>56</v>
      </c>
      <c r="E111" s="16" t="s">
        <v>282</v>
      </c>
      <c r="F111" s="18" t="s">
        <v>63</v>
      </c>
      <c r="G111" s="17">
        <v>81.38</v>
      </c>
      <c r="H111" s="19">
        <v>154.4</v>
      </c>
      <c r="I111" s="19">
        <v>188.72</v>
      </c>
      <c r="J111" s="19">
        <v>15358.03</v>
      </c>
      <c r="K111" s="108">
        <v>1.4587615571697349E-2</v>
      </c>
      <c r="M111" s="79"/>
      <c r="N111" s="1"/>
      <c r="O111" s="80"/>
      <c r="Q111" s="79"/>
      <c r="R111" s="1"/>
      <c r="S111" s="80"/>
    </row>
    <row r="112" spans="2:19" ht="24" customHeight="1" x14ac:dyDescent="0.2">
      <c r="B112" s="101" t="s">
        <v>283</v>
      </c>
      <c r="C112" s="13"/>
      <c r="D112" s="13"/>
      <c r="E112" s="13" t="s">
        <v>284</v>
      </c>
      <c r="F112" s="13"/>
      <c r="G112" s="14"/>
      <c r="H112" s="13"/>
      <c r="I112" s="13"/>
      <c r="J112" s="15">
        <v>94176.33</v>
      </c>
      <c r="K112" s="109">
        <v>8.9452104078017056E-2</v>
      </c>
      <c r="M112" s="79"/>
      <c r="N112" s="1"/>
      <c r="O112" s="80"/>
      <c r="Q112" s="82"/>
      <c r="R112" s="71"/>
      <c r="S112" s="83"/>
    </row>
    <row r="113" spans="2:19" ht="24" customHeight="1" x14ac:dyDescent="0.2">
      <c r="B113" s="101" t="s">
        <v>285</v>
      </c>
      <c r="C113" s="13"/>
      <c r="D113" s="13"/>
      <c r="E113" s="13" t="s">
        <v>286</v>
      </c>
      <c r="F113" s="13"/>
      <c r="G113" s="14"/>
      <c r="H113" s="13"/>
      <c r="I113" s="13"/>
      <c r="J113" s="15">
        <v>38642.03</v>
      </c>
      <c r="K113" s="102">
        <v>3.6703605771703542E-2</v>
      </c>
      <c r="M113" s="79"/>
      <c r="N113" s="1"/>
      <c r="O113" s="80"/>
      <c r="Q113" s="79"/>
      <c r="R113" s="1"/>
      <c r="S113" s="80"/>
    </row>
    <row r="114" spans="2:19" ht="24" customHeight="1" x14ac:dyDescent="0.2">
      <c r="B114" s="101" t="s">
        <v>287</v>
      </c>
      <c r="C114" s="13"/>
      <c r="D114" s="13"/>
      <c r="E114" s="13" t="s">
        <v>288</v>
      </c>
      <c r="F114" s="13"/>
      <c r="G114" s="14"/>
      <c r="H114" s="13"/>
      <c r="I114" s="13"/>
      <c r="J114" s="15">
        <v>10207.39</v>
      </c>
      <c r="K114" s="102">
        <v>9.6953503353221608E-3</v>
      </c>
      <c r="M114" s="79"/>
      <c r="N114" s="1"/>
      <c r="O114" s="80"/>
      <c r="Q114" s="79"/>
      <c r="R114" s="1"/>
      <c r="S114" s="80"/>
    </row>
    <row r="115" spans="2:19" ht="24" hidden="1" customHeight="1" x14ac:dyDescent="0.2">
      <c r="B115" s="103" t="s">
        <v>289</v>
      </c>
      <c r="C115" s="17" t="s">
        <v>290</v>
      </c>
      <c r="D115" s="16" t="s">
        <v>37</v>
      </c>
      <c r="E115" s="16" t="s">
        <v>291</v>
      </c>
      <c r="F115" s="18" t="s">
        <v>58</v>
      </c>
      <c r="G115" s="17">
        <v>1</v>
      </c>
      <c r="H115" s="19">
        <v>930.6</v>
      </c>
      <c r="I115" s="19">
        <v>1137.47</v>
      </c>
      <c r="J115" s="19">
        <v>1137.47</v>
      </c>
      <c r="K115" s="104">
        <v>1.0804103836454665E-3</v>
      </c>
      <c r="M115" s="79"/>
      <c r="N115" s="1"/>
      <c r="O115" s="80"/>
      <c r="Q115" s="79"/>
      <c r="R115" s="1"/>
      <c r="S115" s="80"/>
    </row>
    <row r="116" spans="2:19" ht="65.099999999999994" hidden="1" customHeight="1" x14ac:dyDescent="0.2">
      <c r="B116" s="103" t="s">
        <v>292</v>
      </c>
      <c r="C116" s="17" t="s">
        <v>293</v>
      </c>
      <c r="D116" s="16" t="s">
        <v>61</v>
      </c>
      <c r="E116" s="16" t="s">
        <v>294</v>
      </c>
      <c r="F116" s="18" t="s">
        <v>58</v>
      </c>
      <c r="G116" s="17">
        <v>5</v>
      </c>
      <c r="H116" s="19">
        <v>846.74</v>
      </c>
      <c r="I116" s="19">
        <v>1034.97</v>
      </c>
      <c r="J116" s="19">
        <v>5174.8500000000004</v>
      </c>
      <c r="K116" s="104">
        <v>4.9152607750602142E-3</v>
      </c>
      <c r="M116" s="79"/>
      <c r="N116" s="1"/>
      <c r="O116" s="80"/>
      <c r="Q116" s="79"/>
      <c r="R116" s="1"/>
      <c r="S116" s="80"/>
    </row>
    <row r="117" spans="2:19" ht="65.099999999999994" hidden="1" customHeight="1" x14ac:dyDescent="0.2">
      <c r="B117" s="103" t="s">
        <v>295</v>
      </c>
      <c r="C117" s="17" t="s">
        <v>296</v>
      </c>
      <c r="D117" s="16" t="s">
        <v>61</v>
      </c>
      <c r="E117" s="16" t="s">
        <v>297</v>
      </c>
      <c r="F117" s="18" t="s">
        <v>58</v>
      </c>
      <c r="G117" s="17">
        <v>3</v>
      </c>
      <c r="H117" s="19">
        <v>729.13</v>
      </c>
      <c r="I117" s="19">
        <v>891.21</v>
      </c>
      <c r="J117" s="19">
        <v>2673.63</v>
      </c>
      <c r="K117" s="104">
        <v>2.5395110324017587E-3</v>
      </c>
      <c r="M117" s="79"/>
      <c r="N117" s="1"/>
      <c r="O117" s="80"/>
      <c r="Q117" s="79"/>
      <c r="R117" s="1"/>
      <c r="S117" s="80"/>
    </row>
    <row r="118" spans="2:19" ht="39" hidden="1" customHeight="1" x14ac:dyDescent="0.2">
      <c r="B118" s="103" t="s">
        <v>298</v>
      </c>
      <c r="C118" s="17" t="s">
        <v>299</v>
      </c>
      <c r="D118" s="16" t="s">
        <v>61</v>
      </c>
      <c r="E118" s="16" t="s">
        <v>300</v>
      </c>
      <c r="F118" s="18" t="s">
        <v>58</v>
      </c>
      <c r="G118" s="17">
        <v>4</v>
      </c>
      <c r="H118" s="19">
        <v>124.92</v>
      </c>
      <c r="I118" s="19">
        <v>152.68</v>
      </c>
      <c r="J118" s="19">
        <v>610.72</v>
      </c>
      <c r="K118" s="104">
        <v>5.8008407210736047E-4</v>
      </c>
      <c r="M118" s="79"/>
      <c r="N118" s="1"/>
      <c r="O118" s="80"/>
      <c r="Q118" s="79"/>
      <c r="R118" s="1"/>
      <c r="S118" s="80"/>
    </row>
    <row r="119" spans="2:19" ht="42.75" x14ac:dyDescent="0.2">
      <c r="B119" s="103" t="s">
        <v>301</v>
      </c>
      <c r="C119" s="17" t="s">
        <v>302</v>
      </c>
      <c r="D119" s="16" t="s">
        <v>61</v>
      </c>
      <c r="E119" s="16" t="s">
        <v>303</v>
      </c>
      <c r="F119" s="18" t="s">
        <v>58</v>
      </c>
      <c r="G119" s="17">
        <v>4</v>
      </c>
      <c r="H119" s="19">
        <v>124.92</v>
      </c>
      <c r="I119" s="19">
        <v>152.68</v>
      </c>
      <c r="J119" s="19">
        <v>610.72</v>
      </c>
      <c r="K119" s="104">
        <v>5.8008407210736047E-4</v>
      </c>
      <c r="M119" s="79"/>
      <c r="N119" s="1"/>
      <c r="O119" s="80"/>
      <c r="Q119" s="79">
        <v>1</v>
      </c>
      <c r="R119" s="2">
        <f>I119</f>
        <v>152.68</v>
      </c>
      <c r="S119" s="80">
        <f>Q119*R119</f>
        <v>152.68</v>
      </c>
    </row>
    <row r="120" spans="2:19" ht="24" customHeight="1" x14ac:dyDescent="0.2">
      <c r="B120" s="101" t="s">
        <v>304</v>
      </c>
      <c r="C120" s="13"/>
      <c r="D120" s="13"/>
      <c r="E120" s="13" t="s">
        <v>305</v>
      </c>
      <c r="F120" s="13"/>
      <c r="G120" s="14"/>
      <c r="H120" s="13"/>
      <c r="I120" s="13"/>
      <c r="J120" s="15">
        <v>18620.689999999999</v>
      </c>
      <c r="K120" s="102">
        <v>1.7686608725191261E-2</v>
      </c>
      <c r="M120" s="79"/>
      <c r="N120" s="1"/>
      <c r="O120" s="80"/>
      <c r="Q120" s="79"/>
      <c r="R120" s="1"/>
      <c r="S120" s="80"/>
    </row>
    <row r="121" spans="2:19" ht="39" hidden="1" customHeight="1" x14ac:dyDescent="0.2">
      <c r="B121" s="103" t="s">
        <v>306</v>
      </c>
      <c r="C121" s="17" t="s">
        <v>307</v>
      </c>
      <c r="D121" s="16" t="s">
        <v>61</v>
      </c>
      <c r="E121" s="16" t="s">
        <v>308</v>
      </c>
      <c r="F121" s="18" t="s">
        <v>58</v>
      </c>
      <c r="G121" s="17">
        <v>1</v>
      </c>
      <c r="H121" s="19">
        <v>4818.49</v>
      </c>
      <c r="I121" s="19">
        <v>5889.64</v>
      </c>
      <c r="J121" s="19">
        <v>5889.64</v>
      </c>
      <c r="K121" s="104">
        <v>5.5941943189127498E-3</v>
      </c>
      <c r="M121" s="79"/>
      <c r="N121" s="1"/>
      <c r="O121" s="80"/>
      <c r="Q121" s="79"/>
      <c r="R121" s="1"/>
      <c r="S121" s="80"/>
    </row>
    <row r="122" spans="2:19" ht="42.75" x14ac:dyDescent="0.2">
      <c r="B122" s="103" t="s">
        <v>309</v>
      </c>
      <c r="C122" s="17" t="s">
        <v>310</v>
      </c>
      <c r="D122" s="16" t="s">
        <v>61</v>
      </c>
      <c r="E122" s="16" t="s">
        <v>311</v>
      </c>
      <c r="F122" s="18" t="s">
        <v>58</v>
      </c>
      <c r="G122" s="17">
        <v>2</v>
      </c>
      <c r="H122" s="19">
        <v>2404.2399999999998</v>
      </c>
      <c r="I122" s="19">
        <v>2938.7</v>
      </c>
      <c r="J122" s="19">
        <v>5877.4</v>
      </c>
      <c r="K122" s="104">
        <v>5.5825683216593532E-3</v>
      </c>
      <c r="M122" s="81">
        <f>1</f>
        <v>1</v>
      </c>
      <c r="N122" s="20">
        <f>I122</f>
        <v>2938.7</v>
      </c>
      <c r="O122" s="80">
        <f>N122*M122</f>
        <v>2938.7</v>
      </c>
      <c r="Q122" s="79"/>
      <c r="R122" s="1"/>
      <c r="S122" s="80"/>
    </row>
    <row r="123" spans="2:19" ht="26.1" hidden="1" customHeight="1" x14ac:dyDescent="0.2">
      <c r="B123" s="103" t="s">
        <v>312</v>
      </c>
      <c r="C123" s="17" t="s">
        <v>313</v>
      </c>
      <c r="D123" s="16" t="s">
        <v>23</v>
      </c>
      <c r="E123" s="16" t="s">
        <v>314</v>
      </c>
      <c r="F123" s="18" t="s">
        <v>34</v>
      </c>
      <c r="G123" s="17">
        <v>1</v>
      </c>
      <c r="H123" s="19">
        <v>5607.18</v>
      </c>
      <c r="I123" s="19">
        <v>6853.65</v>
      </c>
      <c r="J123" s="19">
        <v>6853.65</v>
      </c>
      <c r="K123" s="104">
        <v>6.509846084619156E-3</v>
      </c>
      <c r="M123" s="79"/>
      <c r="N123" s="1"/>
      <c r="O123" s="80"/>
      <c r="Q123" s="79"/>
      <c r="R123" s="1"/>
      <c r="S123" s="80"/>
    </row>
    <row r="124" spans="2:19" ht="24" customHeight="1" x14ac:dyDescent="0.2">
      <c r="B124" s="101" t="s">
        <v>315</v>
      </c>
      <c r="C124" s="13"/>
      <c r="D124" s="13"/>
      <c r="E124" s="13" t="s">
        <v>316</v>
      </c>
      <c r="F124" s="13"/>
      <c r="G124" s="14"/>
      <c r="H124" s="13"/>
      <c r="I124" s="13"/>
      <c r="J124" s="15">
        <v>4848.92</v>
      </c>
      <c r="K124" s="102">
        <v>4.6056806047334656E-3</v>
      </c>
      <c r="M124" s="79"/>
      <c r="N124" s="1"/>
      <c r="O124" s="80"/>
      <c r="Q124" s="79"/>
      <c r="R124" s="1"/>
      <c r="S124" s="80"/>
    </row>
    <row r="125" spans="2:19" ht="28.5" x14ac:dyDescent="0.2">
      <c r="B125" s="103" t="s">
        <v>317</v>
      </c>
      <c r="C125" s="17" t="s">
        <v>318</v>
      </c>
      <c r="D125" s="16" t="s">
        <v>61</v>
      </c>
      <c r="E125" s="16" t="s">
        <v>319</v>
      </c>
      <c r="F125" s="18" t="s">
        <v>63</v>
      </c>
      <c r="G125" s="17">
        <v>5.13</v>
      </c>
      <c r="H125" s="19">
        <v>773.31</v>
      </c>
      <c r="I125" s="19">
        <v>945.21</v>
      </c>
      <c r="J125" s="19">
        <v>4848.92</v>
      </c>
      <c r="K125" s="104">
        <v>4.6056806047334656E-3</v>
      </c>
      <c r="M125" s="79"/>
      <c r="N125" s="1"/>
      <c r="O125" s="80"/>
      <c r="Q125" s="79">
        <f>(2.5*3.3)-G125</f>
        <v>3.12</v>
      </c>
      <c r="R125" s="22">
        <f>I125</f>
        <v>945.21</v>
      </c>
      <c r="S125" s="80">
        <f>Q125*R125</f>
        <v>2949.0552000000002</v>
      </c>
    </row>
    <row r="126" spans="2:19" ht="24" customHeight="1" x14ac:dyDescent="0.2">
      <c r="B126" s="101" t="s">
        <v>320</v>
      </c>
      <c r="C126" s="13"/>
      <c r="D126" s="13"/>
      <c r="E126" s="13" t="s">
        <v>321</v>
      </c>
      <c r="F126" s="13"/>
      <c r="G126" s="14"/>
      <c r="H126" s="13"/>
      <c r="I126" s="13"/>
      <c r="J126" s="15">
        <v>4965.03</v>
      </c>
      <c r="K126" s="102">
        <v>4.7159661064566545E-3</v>
      </c>
      <c r="M126" s="79"/>
      <c r="N126" s="1"/>
      <c r="O126" s="80"/>
      <c r="Q126" s="79"/>
      <c r="R126" s="1"/>
      <c r="S126" s="80"/>
    </row>
    <row r="127" spans="2:19" ht="39" hidden="1" customHeight="1" x14ac:dyDescent="0.2">
      <c r="B127" s="110" t="s">
        <v>322</v>
      </c>
      <c r="C127" s="26" t="s">
        <v>323</v>
      </c>
      <c r="D127" s="25" t="s">
        <v>61</v>
      </c>
      <c r="E127" s="25" t="s">
        <v>324</v>
      </c>
      <c r="F127" s="27" t="s">
        <v>63</v>
      </c>
      <c r="G127" s="26">
        <v>6.92</v>
      </c>
      <c r="H127" s="28">
        <v>587</v>
      </c>
      <c r="I127" s="28">
        <v>717.49</v>
      </c>
      <c r="J127" s="28">
        <v>4965.03</v>
      </c>
      <c r="K127" s="104">
        <v>4.7159661064566545E-3</v>
      </c>
      <c r="M127" s="79"/>
      <c r="N127" s="1"/>
      <c r="O127" s="80"/>
      <c r="Q127" s="79"/>
      <c r="R127" s="1"/>
      <c r="S127" s="80"/>
    </row>
    <row r="128" spans="2:19" ht="24" customHeight="1" x14ac:dyDescent="0.2">
      <c r="B128" s="101" t="s">
        <v>325</v>
      </c>
      <c r="C128" s="13"/>
      <c r="D128" s="13"/>
      <c r="E128" s="13" t="s">
        <v>326</v>
      </c>
      <c r="F128" s="13"/>
      <c r="G128" s="14"/>
      <c r="H128" s="13"/>
      <c r="I128" s="13"/>
      <c r="J128" s="15">
        <v>30228.01</v>
      </c>
      <c r="K128" s="102">
        <v>2.8711663499643065E-2</v>
      </c>
      <c r="M128" s="79"/>
      <c r="N128" s="1"/>
      <c r="O128" s="80"/>
      <c r="Q128" s="79"/>
      <c r="R128" s="1"/>
      <c r="S128" s="80"/>
    </row>
    <row r="129" spans="2:21" ht="24" customHeight="1" x14ac:dyDescent="0.2">
      <c r="B129" s="101" t="s">
        <v>327</v>
      </c>
      <c r="C129" s="13"/>
      <c r="D129" s="13"/>
      <c r="E129" s="13" t="s">
        <v>328</v>
      </c>
      <c r="F129" s="13"/>
      <c r="G129" s="14"/>
      <c r="H129" s="13"/>
      <c r="I129" s="13"/>
      <c r="J129" s="15">
        <v>30228.01</v>
      </c>
      <c r="K129" s="102">
        <v>2.8711663499643065E-2</v>
      </c>
      <c r="M129" s="79"/>
      <c r="N129" s="1"/>
      <c r="O129" s="80"/>
      <c r="Q129" s="79"/>
      <c r="R129" s="1"/>
      <c r="S129" s="80"/>
    </row>
    <row r="130" spans="2:21" ht="28.5" x14ac:dyDescent="0.2">
      <c r="B130" s="103" t="s">
        <v>329</v>
      </c>
      <c r="C130" s="17" t="s">
        <v>330</v>
      </c>
      <c r="D130" s="16" t="s">
        <v>23</v>
      </c>
      <c r="E130" s="16" t="s">
        <v>331</v>
      </c>
      <c r="F130" s="18" t="s">
        <v>332</v>
      </c>
      <c r="G130" s="17">
        <v>1.43</v>
      </c>
      <c r="H130" s="19">
        <v>1151.97</v>
      </c>
      <c r="I130" s="19">
        <v>1408.05</v>
      </c>
      <c r="J130" s="19">
        <v>2013.51</v>
      </c>
      <c r="K130" s="104">
        <v>1.9125050432749727E-3</v>
      </c>
      <c r="M130" s="79"/>
      <c r="N130" s="1"/>
      <c r="O130" s="80"/>
      <c r="Q130" s="79">
        <f>(0.7*2.1)+(2.5*0.3)+(0.3*2.1)</f>
        <v>2.8499999999999996</v>
      </c>
      <c r="R130" s="2">
        <f>I130</f>
        <v>1408.05</v>
      </c>
      <c r="S130" s="80">
        <f>Q130*I130</f>
        <v>4012.9424999999992</v>
      </c>
    </row>
    <row r="131" spans="2:21" ht="39" customHeight="1" x14ac:dyDescent="0.2">
      <c r="B131" s="103" t="s">
        <v>333</v>
      </c>
      <c r="C131" s="17" t="s">
        <v>334</v>
      </c>
      <c r="D131" s="16" t="s">
        <v>61</v>
      </c>
      <c r="E131" s="16" t="s">
        <v>335</v>
      </c>
      <c r="F131" s="18" t="s">
        <v>63</v>
      </c>
      <c r="G131" s="17">
        <v>27.58</v>
      </c>
      <c r="H131" s="19">
        <v>489.85</v>
      </c>
      <c r="I131" s="19">
        <v>598.74</v>
      </c>
      <c r="J131" s="19">
        <v>16513.240000000002</v>
      </c>
      <c r="K131" s="104">
        <v>1.5684876052669224E-2</v>
      </c>
      <c r="M131" s="81">
        <f>1.5*1.4*2</f>
        <v>4.1999999999999993</v>
      </c>
      <c r="N131" s="20">
        <f>I131</f>
        <v>598.74</v>
      </c>
      <c r="O131" s="80">
        <f>M131*N131</f>
        <v>2514.7079999999996</v>
      </c>
      <c r="Q131" s="79"/>
      <c r="R131" s="1"/>
      <c r="S131" s="80"/>
    </row>
    <row r="132" spans="2:21" ht="24" hidden="1" customHeight="1" x14ac:dyDescent="0.2">
      <c r="B132" s="103" t="s">
        <v>336</v>
      </c>
      <c r="C132" s="17" t="s">
        <v>337</v>
      </c>
      <c r="D132" s="16" t="s">
        <v>23</v>
      </c>
      <c r="E132" s="16" t="s">
        <v>338</v>
      </c>
      <c r="F132" s="18" t="s">
        <v>63</v>
      </c>
      <c r="G132" s="17">
        <v>0.5</v>
      </c>
      <c r="H132" s="19">
        <v>116.44</v>
      </c>
      <c r="I132" s="19">
        <v>142.32</v>
      </c>
      <c r="J132" s="19">
        <v>71.16</v>
      </c>
      <c r="K132" s="104">
        <v>6.7590356581018749E-5</v>
      </c>
      <c r="M132" s="79"/>
      <c r="N132" s="1"/>
      <c r="O132" s="80"/>
      <c r="Q132" s="79"/>
      <c r="R132" s="1"/>
      <c r="S132" s="80"/>
    </row>
    <row r="133" spans="2:21" ht="26.1" customHeight="1" x14ac:dyDescent="0.2">
      <c r="B133" s="103" t="s">
        <v>339</v>
      </c>
      <c r="C133" s="17" t="s">
        <v>340</v>
      </c>
      <c r="D133" s="16" t="s">
        <v>37</v>
      </c>
      <c r="E133" s="16" t="s">
        <v>341</v>
      </c>
      <c r="F133" s="18" t="s">
        <v>63</v>
      </c>
      <c r="G133" s="17">
        <v>25.9</v>
      </c>
      <c r="H133" s="19">
        <v>343.92</v>
      </c>
      <c r="I133" s="19">
        <v>420.37</v>
      </c>
      <c r="J133" s="19">
        <v>10887.58</v>
      </c>
      <c r="K133" s="104">
        <v>1.034141954053356E-2</v>
      </c>
      <c r="M133" s="81">
        <f>M131</f>
        <v>4.1999999999999993</v>
      </c>
      <c r="N133" s="20">
        <f>I133</f>
        <v>420.37</v>
      </c>
      <c r="O133" s="80">
        <f>M133*N133</f>
        <v>1765.5539999999996</v>
      </c>
      <c r="P133" s="89"/>
      <c r="Q133" s="79"/>
      <c r="R133" s="1"/>
      <c r="S133" s="80"/>
    </row>
    <row r="134" spans="2:21" ht="26.1" hidden="1" customHeight="1" x14ac:dyDescent="0.2">
      <c r="B134" s="111" t="s">
        <v>342</v>
      </c>
      <c r="C134" s="30" t="s">
        <v>343</v>
      </c>
      <c r="D134" s="29" t="s">
        <v>37</v>
      </c>
      <c r="E134" s="29" t="s">
        <v>344</v>
      </c>
      <c r="F134" s="31" t="s">
        <v>63</v>
      </c>
      <c r="G134" s="30">
        <v>1.68</v>
      </c>
      <c r="H134" s="32">
        <v>361.6</v>
      </c>
      <c r="I134" s="32">
        <v>441.98</v>
      </c>
      <c r="J134" s="32">
        <v>742.52</v>
      </c>
      <c r="K134" s="104">
        <v>7.0527250658428955E-4</v>
      </c>
      <c r="M134" s="79"/>
      <c r="N134" s="1"/>
      <c r="O134" s="80"/>
      <c r="Q134" s="79"/>
      <c r="R134" s="1"/>
      <c r="S134" s="80"/>
    </row>
    <row r="135" spans="2:21" ht="24" customHeight="1" x14ac:dyDescent="0.2">
      <c r="B135" s="101" t="s">
        <v>345</v>
      </c>
      <c r="C135" s="13"/>
      <c r="D135" s="13"/>
      <c r="E135" s="13" t="s">
        <v>346</v>
      </c>
      <c r="F135" s="13"/>
      <c r="G135" s="14"/>
      <c r="H135" s="13"/>
      <c r="I135" s="13"/>
      <c r="J135" s="15">
        <v>17055.34</v>
      </c>
      <c r="K135" s="102">
        <v>1.6199782352592923E-2</v>
      </c>
      <c r="M135" s="79"/>
      <c r="N135" s="1"/>
      <c r="O135" s="80"/>
      <c r="Q135" s="79"/>
      <c r="R135" s="1"/>
      <c r="S135" s="80"/>
    </row>
    <row r="136" spans="2:21" ht="26.1" customHeight="1" x14ac:dyDescent="0.2">
      <c r="B136" s="103" t="s">
        <v>347</v>
      </c>
      <c r="C136" s="17" t="s">
        <v>348</v>
      </c>
      <c r="D136" s="16" t="s">
        <v>37</v>
      </c>
      <c r="E136" s="16" t="s">
        <v>349</v>
      </c>
      <c r="F136" s="18" t="s">
        <v>63</v>
      </c>
      <c r="G136" s="17">
        <v>36.69</v>
      </c>
      <c r="H136" s="19">
        <v>380.31</v>
      </c>
      <c r="I136" s="19">
        <v>464.85</v>
      </c>
      <c r="J136" s="19">
        <v>17055.34</v>
      </c>
      <c r="K136" s="104">
        <v>1.6199782352592923E-2</v>
      </c>
      <c r="M136" s="81">
        <f>(1.7*1.6*2)</f>
        <v>5.44</v>
      </c>
      <c r="N136" s="20">
        <f>I136</f>
        <v>464.85</v>
      </c>
      <c r="O136" s="80">
        <f>M136*N136</f>
        <v>2528.7840000000001</v>
      </c>
      <c r="Q136" s="92">
        <f>1.2*2.46</f>
        <v>2.952</v>
      </c>
      <c r="R136" s="22">
        <f>I136</f>
        <v>464.85</v>
      </c>
      <c r="S136" s="80">
        <f>Q136*I136</f>
        <v>1372.2372</v>
      </c>
      <c r="U136" s="33"/>
    </row>
    <row r="137" spans="2:21" ht="24" customHeight="1" x14ac:dyDescent="0.2">
      <c r="B137" s="101" t="s">
        <v>350</v>
      </c>
      <c r="C137" s="13"/>
      <c r="D137" s="13"/>
      <c r="E137" s="13" t="s">
        <v>351</v>
      </c>
      <c r="F137" s="13"/>
      <c r="G137" s="14"/>
      <c r="H137" s="13"/>
      <c r="I137" s="13"/>
      <c r="J137" s="15">
        <v>3479.49</v>
      </c>
      <c r="K137" s="102">
        <v>3.3049461750996197E-3</v>
      </c>
      <c r="M137" s="79"/>
      <c r="N137" s="1"/>
      <c r="O137" s="80"/>
      <c r="Q137" s="79"/>
      <c r="R137" s="1"/>
      <c r="S137" s="80"/>
    </row>
    <row r="138" spans="2:21" ht="28.5" x14ac:dyDescent="0.2">
      <c r="B138" s="103" t="s">
        <v>352</v>
      </c>
      <c r="C138" s="17" t="s">
        <v>353</v>
      </c>
      <c r="D138" s="16" t="s">
        <v>23</v>
      </c>
      <c r="E138" s="16" t="s">
        <v>354</v>
      </c>
      <c r="F138" s="18" t="s">
        <v>63</v>
      </c>
      <c r="G138" s="17">
        <v>27.58</v>
      </c>
      <c r="H138" s="19">
        <v>103.22</v>
      </c>
      <c r="I138" s="19">
        <v>126.16</v>
      </c>
      <c r="J138" s="19">
        <v>3479.49</v>
      </c>
      <c r="K138" s="104">
        <v>3.3049461750996197E-3</v>
      </c>
      <c r="M138" s="81">
        <f>1.5*1.4*2</f>
        <v>4.1999999999999993</v>
      </c>
      <c r="N138" s="20">
        <f>I138</f>
        <v>126.16</v>
      </c>
      <c r="O138" s="80">
        <f>M138*N138</f>
        <v>529.87199999999984</v>
      </c>
      <c r="Q138" s="79"/>
      <c r="R138" s="1"/>
      <c r="S138" s="80"/>
    </row>
    <row r="139" spans="2:21" ht="24" customHeight="1" x14ac:dyDescent="0.2">
      <c r="B139" s="101" t="s">
        <v>355</v>
      </c>
      <c r="C139" s="13"/>
      <c r="D139" s="13"/>
      <c r="E139" s="13" t="s">
        <v>356</v>
      </c>
      <c r="F139" s="13"/>
      <c r="G139" s="14"/>
      <c r="H139" s="13"/>
      <c r="I139" s="13"/>
      <c r="J139" s="15">
        <v>3441.51</v>
      </c>
      <c r="K139" s="102">
        <v>3.2688713895045228E-3</v>
      </c>
      <c r="M139" s="79"/>
      <c r="N139" s="1"/>
      <c r="O139" s="80"/>
      <c r="Q139" s="79"/>
      <c r="R139" s="1"/>
      <c r="S139" s="80"/>
    </row>
    <row r="140" spans="2:21" ht="85.5" x14ac:dyDescent="0.2">
      <c r="B140" s="103" t="s">
        <v>357</v>
      </c>
      <c r="C140" s="17" t="s">
        <v>358</v>
      </c>
      <c r="D140" s="16" t="s">
        <v>23</v>
      </c>
      <c r="E140" s="16" t="s">
        <v>359</v>
      </c>
      <c r="F140" s="18" t="s">
        <v>63</v>
      </c>
      <c r="G140" s="17">
        <v>30.78</v>
      </c>
      <c r="H140" s="19">
        <v>91.48</v>
      </c>
      <c r="I140" s="19">
        <v>111.81</v>
      </c>
      <c r="J140" s="19">
        <v>3441.51</v>
      </c>
      <c r="K140" s="104">
        <v>3.2688713895045228E-3</v>
      </c>
      <c r="M140" s="81">
        <f>1.5*1.55*2</f>
        <v>4.6500000000000004</v>
      </c>
      <c r="N140" s="20">
        <f>I140</f>
        <v>111.81</v>
      </c>
      <c r="O140" s="80">
        <f>M140*N140</f>
        <v>519.91650000000004</v>
      </c>
      <c r="Q140" s="79"/>
      <c r="R140" s="1"/>
      <c r="S140" s="80"/>
    </row>
    <row r="141" spans="2:21" ht="24" hidden="1" customHeight="1" x14ac:dyDescent="0.2">
      <c r="B141" s="112" t="s">
        <v>360</v>
      </c>
      <c r="C141" s="34"/>
      <c r="D141" s="34"/>
      <c r="E141" s="34" t="s">
        <v>361</v>
      </c>
      <c r="F141" s="34"/>
      <c r="G141" s="35"/>
      <c r="H141" s="34"/>
      <c r="I141" s="34"/>
      <c r="J141" s="36">
        <v>1329.95</v>
      </c>
      <c r="K141" s="102">
        <v>1.2632348894733823E-3</v>
      </c>
      <c r="M141" s="79"/>
      <c r="N141" s="1"/>
      <c r="O141" s="80"/>
      <c r="Q141" s="79"/>
      <c r="R141" s="1"/>
      <c r="S141" s="80"/>
    </row>
    <row r="142" spans="2:21" ht="24" hidden="1" customHeight="1" x14ac:dyDescent="0.2">
      <c r="B142" s="111" t="s">
        <v>362</v>
      </c>
      <c r="C142" s="30" t="s">
        <v>363</v>
      </c>
      <c r="D142" s="29" t="s">
        <v>37</v>
      </c>
      <c r="E142" s="29" t="s">
        <v>364</v>
      </c>
      <c r="F142" s="31" t="s">
        <v>63</v>
      </c>
      <c r="G142" s="30">
        <v>2.6</v>
      </c>
      <c r="H142" s="32">
        <v>418.49</v>
      </c>
      <c r="I142" s="32">
        <v>511.52</v>
      </c>
      <c r="J142" s="32">
        <v>1329.95</v>
      </c>
      <c r="K142" s="104">
        <v>1.2632348894733823E-3</v>
      </c>
      <c r="M142" s="79"/>
      <c r="N142" s="1"/>
      <c r="O142" s="80"/>
      <c r="Q142" s="79"/>
      <c r="R142" s="1"/>
      <c r="S142" s="80"/>
    </row>
    <row r="143" spans="2:21" ht="24" customHeight="1" x14ac:dyDescent="0.2">
      <c r="B143" s="101" t="s">
        <v>365</v>
      </c>
      <c r="C143" s="13"/>
      <c r="D143" s="13"/>
      <c r="E143" s="13" t="s">
        <v>366</v>
      </c>
      <c r="F143" s="13"/>
      <c r="G143" s="14"/>
      <c r="H143" s="13"/>
      <c r="I143" s="13"/>
      <c r="J143" s="15">
        <v>5438.67</v>
      </c>
      <c r="K143" s="102">
        <v>5.1658466080169935E-3</v>
      </c>
      <c r="M143" s="79"/>
      <c r="N143" s="1"/>
      <c r="O143" s="80"/>
      <c r="Q143" s="79"/>
      <c r="R143" s="1"/>
      <c r="S143" s="80"/>
    </row>
    <row r="144" spans="2:21" ht="24" customHeight="1" x14ac:dyDescent="0.2">
      <c r="B144" s="101" t="s">
        <v>367</v>
      </c>
      <c r="C144" s="13"/>
      <c r="D144" s="13"/>
      <c r="E144" s="13" t="s">
        <v>368</v>
      </c>
      <c r="F144" s="13"/>
      <c r="G144" s="14"/>
      <c r="H144" s="13"/>
      <c r="I144" s="13"/>
      <c r="J144" s="15">
        <v>916.8</v>
      </c>
      <c r="K144" s="102">
        <v>8.7080999035241689E-4</v>
      </c>
      <c r="M144" s="79"/>
      <c r="N144" s="1"/>
      <c r="O144" s="80"/>
      <c r="Q144" s="79"/>
      <c r="R144" s="1"/>
      <c r="S144" s="80"/>
    </row>
    <row r="145" spans="2:19" ht="28.5" x14ac:dyDescent="0.2">
      <c r="B145" s="103" t="s">
        <v>369</v>
      </c>
      <c r="C145" s="17" t="s">
        <v>370</v>
      </c>
      <c r="D145" s="16" t="s">
        <v>61</v>
      </c>
      <c r="E145" s="16" t="s">
        <v>371</v>
      </c>
      <c r="F145" s="18" t="s">
        <v>101</v>
      </c>
      <c r="G145" s="17">
        <v>6.9</v>
      </c>
      <c r="H145" s="19">
        <v>108.71</v>
      </c>
      <c r="I145" s="19">
        <v>132.87</v>
      </c>
      <c r="J145" s="19">
        <v>916.8</v>
      </c>
      <c r="K145" s="104">
        <v>8.7080999035241689E-4</v>
      </c>
      <c r="M145" s="79"/>
      <c r="N145" s="1"/>
      <c r="O145" s="80"/>
      <c r="Q145" s="79">
        <f>1+0.7</f>
        <v>1.7</v>
      </c>
      <c r="R145" s="2">
        <f>I145</f>
        <v>132.87</v>
      </c>
      <c r="S145" s="80">
        <f>Q145*R145</f>
        <v>225.87899999999999</v>
      </c>
    </row>
    <row r="146" spans="2:19" ht="24" customHeight="1" x14ac:dyDescent="0.2">
      <c r="B146" s="101" t="s">
        <v>372</v>
      </c>
      <c r="C146" s="13"/>
      <c r="D146" s="13"/>
      <c r="E146" s="13" t="s">
        <v>373</v>
      </c>
      <c r="F146" s="13"/>
      <c r="G146" s="14"/>
      <c r="H146" s="13"/>
      <c r="I146" s="13"/>
      <c r="J146" s="15">
        <v>3217.57</v>
      </c>
      <c r="K146" s="102">
        <v>3.0561650312589729E-3</v>
      </c>
      <c r="M146" s="79"/>
      <c r="N146" s="1"/>
      <c r="O146" s="80"/>
      <c r="Q146" s="79"/>
      <c r="R146" s="1"/>
      <c r="S146" s="80"/>
    </row>
    <row r="147" spans="2:19" ht="42.75" x14ac:dyDescent="0.2">
      <c r="B147" s="103" t="s">
        <v>374</v>
      </c>
      <c r="C147" s="17" t="s">
        <v>375</v>
      </c>
      <c r="D147" s="16" t="s">
        <v>61</v>
      </c>
      <c r="E147" s="16" t="s">
        <v>376</v>
      </c>
      <c r="F147" s="18" t="s">
        <v>101</v>
      </c>
      <c r="G147" s="17">
        <v>21.3</v>
      </c>
      <c r="H147" s="19">
        <v>123.59</v>
      </c>
      <c r="I147" s="19">
        <v>151.06</v>
      </c>
      <c r="J147" s="19">
        <v>3217.57</v>
      </c>
      <c r="K147" s="104">
        <v>3.0561650312589729E-3</v>
      </c>
      <c r="M147" s="81">
        <f>1.5*2</f>
        <v>3</v>
      </c>
      <c r="N147" s="20">
        <f>I147</f>
        <v>151.06</v>
      </c>
      <c r="O147" s="80">
        <f>N147*M147</f>
        <v>453.18</v>
      </c>
      <c r="Q147" s="79"/>
      <c r="R147" s="1"/>
      <c r="S147" s="80"/>
    </row>
    <row r="148" spans="2:19" ht="24" customHeight="1" x14ac:dyDescent="0.2">
      <c r="B148" s="101" t="s">
        <v>377</v>
      </c>
      <c r="C148" s="13"/>
      <c r="D148" s="13"/>
      <c r="E148" s="13" t="s">
        <v>378</v>
      </c>
      <c r="F148" s="13"/>
      <c r="G148" s="14"/>
      <c r="H148" s="13"/>
      <c r="I148" s="13"/>
      <c r="J148" s="15">
        <v>1304.3</v>
      </c>
      <c r="K148" s="102">
        <v>1.2388715864056037E-3</v>
      </c>
      <c r="M148" s="79"/>
      <c r="N148" s="1"/>
      <c r="O148" s="80"/>
      <c r="Q148" s="79"/>
      <c r="R148" s="1"/>
      <c r="S148" s="80"/>
    </row>
    <row r="149" spans="2:19" ht="24" customHeight="1" x14ac:dyDescent="0.2">
      <c r="B149" s="103" t="s">
        <v>379</v>
      </c>
      <c r="C149" s="17" t="s">
        <v>380</v>
      </c>
      <c r="D149" s="16" t="s">
        <v>37</v>
      </c>
      <c r="E149" s="16" t="s">
        <v>381</v>
      </c>
      <c r="F149" s="18" t="s">
        <v>63</v>
      </c>
      <c r="G149" s="17">
        <v>1.85</v>
      </c>
      <c r="H149" s="19">
        <v>576.80999999999995</v>
      </c>
      <c r="I149" s="19">
        <v>705.03</v>
      </c>
      <c r="J149" s="19">
        <v>1304.3</v>
      </c>
      <c r="K149" s="104">
        <v>1.2388715864056037E-3</v>
      </c>
      <c r="M149" s="79"/>
      <c r="N149" s="1"/>
      <c r="O149" s="80"/>
      <c r="Q149" s="79">
        <f>1*0.6</f>
        <v>0.6</v>
      </c>
      <c r="R149" s="2">
        <f>I149</f>
        <v>705.03</v>
      </c>
      <c r="S149" s="80">
        <f>R149*Q149</f>
        <v>423.01799999999997</v>
      </c>
    </row>
    <row r="150" spans="2:19" ht="24" customHeight="1" x14ac:dyDescent="0.2">
      <c r="B150" s="101" t="s">
        <v>382</v>
      </c>
      <c r="C150" s="13"/>
      <c r="D150" s="13"/>
      <c r="E150" s="13" t="s">
        <v>383</v>
      </c>
      <c r="F150" s="13"/>
      <c r="G150" s="14"/>
      <c r="H150" s="13"/>
      <c r="I150" s="13"/>
      <c r="J150" s="15">
        <v>14743.08</v>
      </c>
      <c r="K150" s="102">
        <v>1.4003513691715654E-2</v>
      </c>
      <c r="M150" s="79"/>
      <c r="N150" s="1"/>
      <c r="O150" s="80"/>
      <c r="Q150" s="79"/>
      <c r="R150" s="1"/>
      <c r="S150" s="80"/>
    </row>
    <row r="151" spans="2:19" ht="24" customHeight="1" x14ac:dyDescent="0.2">
      <c r="B151" s="101" t="s">
        <v>384</v>
      </c>
      <c r="C151" s="13"/>
      <c r="D151" s="13"/>
      <c r="E151" s="13" t="s">
        <v>385</v>
      </c>
      <c r="F151" s="13"/>
      <c r="G151" s="14"/>
      <c r="H151" s="13"/>
      <c r="I151" s="13"/>
      <c r="J151" s="15">
        <v>4285.1099999999997</v>
      </c>
      <c r="K151" s="102">
        <v>4.0701533570670217E-3</v>
      </c>
      <c r="M151" s="79"/>
      <c r="N151" s="1"/>
      <c r="O151" s="80"/>
      <c r="Q151" s="79"/>
      <c r="R151" s="1"/>
      <c r="S151" s="80"/>
    </row>
    <row r="152" spans="2:19" ht="26.1" hidden="1" customHeight="1" x14ac:dyDescent="0.2">
      <c r="B152" s="103" t="s">
        <v>386</v>
      </c>
      <c r="C152" s="17" t="s">
        <v>387</v>
      </c>
      <c r="D152" s="16" t="s">
        <v>56</v>
      </c>
      <c r="E152" s="16" t="s">
        <v>388</v>
      </c>
      <c r="F152" s="18" t="s">
        <v>34</v>
      </c>
      <c r="G152" s="17">
        <v>4</v>
      </c>
      <c r="H152" s="19">
        <v>5.95</v>
      </c>
      <c r="I152" s="19">
        <v>7.27</v>
      </c>
      <c r="J152" s="19">
        <v>29.08</v>
      </c>
      <c r="K152" s="104">
        <v>2.7621241840584951E-5</v>
      </c>
      <c r="M152" s="79"/>
      <c r="N152" s="1"/>
      <c r="O152" s="80"/>
      <c r="Q152" s="79"/>
      <c r="R152" s="1"/>
      <c r="S152" s="80"/>
    </row>
    <row r="153" spans="2:19" ht="39" hidden="1" customHeight="1" x14ac:dyDescent="0.2">
      <c r="B153" s="103" t="s">
        <v>389</v>
      </c>
      <c r="C153" s="17" t="s">
        <v>390</v>
      </c>
      <c r="D153" s="16" t="s">
        <v>61</v>
      </c>
      <c r="E153" s="16" t="s">
        <v>391</v>
      </c>
      <c r="F153" s="18" t="s">
        <v>101</v>
      </c>
      <c r="G153" s="17">
        <v>44.2</v>
      </c>
      <c r="H153" s="19">
        <v>7.74</v>
      </c>
      <c r="I153" s="19">
        <v>9.4600000000000009</v>
      </c>
      <c r="J153" s="19">
        <v>418.13</v>
      </c>
      <c r="K153" s="104">
        <v>3.9715508427798439E-4</v>
      </c>
      <c r="M153" s="79"/>
      <c r="N153" s="1"/>
      <c r="O153" s="80"/>
      <c r="Q153" s="79"/>
      <c r="R153" s="1"/>
      <c r="S153" s="80"/>
    </row>
    <row r="154" spans="2:19" ht="39" hidden="1" customHeight="1" x14ac:dyDescent="0.2">
      <c r="B154" s="103" t="s">
        <v>392</v>
      </c>
      <c r="C154" s="17" t="s">
        <v>393</v>
      </c>
      <c r="D154" s="16" t="s">
        <v>61</v>
      </c>
      <c r="E154" s="16" t="s">
        <v>394</v>
      </c>
      <c r="F154" s="18" t="s">
        <v>58</v>
      </c>
      <c r="G154" s="17">
        <v>4</v>
      </c>
      <c r="H154" s="19">
        <v>4.46</v>
      </c>
      <c r="I154" s="19">
        <v>5.45</v>
      </c>
      <c r="J154" s="19">
        <v>21.8</v>
      </c>
      <c r="K154" s="104">
        <v>2.0706433016669601E-5</v>
      </c>
      <c r="M154" s="79"/>
      <c r="N154" s="1"/>
      <c r="O154" s="80"/>
      <c r="Q154" s="79"/>
      <c r="R154" s="1"/>
      <c r="S154" s="80"/>
    </row>
    <row r="155" spans="2:19" ht="39" hidden="1" customHeight="1" x14ac:dyDescent="0.2">
      <c r="B155" s="103" t="s">
        <v>395</v>
      </c>
      <c r="C155" s="17" t="s">
        <v>396</v>
      </c>
      <c r="D155" s="16" t="s">
        <v>61</v>
      </c>
      <c r="E155" s="16" t="s">
        <v>397</v>
      </c>
      <c r="F155" s="18" t="s">
        <v>58</v>
      </c>
      <c r="G155" s="17">
        <v>4</v>
      </c>
      <c r="H155" s="19">
        <v>6.4</v>
      </c>
      <c r="I155" s="19">
        <v>7.82</v>
      </c>
      <c r="J155" s="19">
        <v>31.28</v>
      </c>
      <c r="K155" s="104">
        <v>2.9710881869790143E-5</v>
      </c>
      <c r="M155" s="79"/>
      <c r="N155" s="1"/>
      <c r="O155" s="80"/>
      <c r="Q155" s="79"/>
      <c r="R155" s="1"/>
      <c r="S155" s="80"/>
    </row>
    <row r="156" spans="2:19" ht="24" customHeight="1" x14ac:dyDescent="0.2">
      <c r="B156" s="103" t="s">
        <v>398</v>
      </c>
      <c r="C156" s="17" t="s">
        <v>399</v>
      </c>
      <c r="D156" s="16" t="s">
        <v>37</v>
      </c>
      <c r="E156" s="16" t="s">
        <v>400</v>
      </c>
      <c r="F156" s="18" t="s">
        <v>58</v>
      </c>
      <c r="G156" s="17">
        <v>2</v>
      </c>
      <c r="H156" s="19">
        <v>1255.83</v>
      </c>
      <c r="I156" s="19">
        <v>1535</v>
      </c>
      <c r="J156" s="19">
        <v>3070</v>
      </c>
      <c r="K156" s="104">
        <v>2.9159976771181502E-3</v>
      </c>
      <c r="M156" s="81">
        <f>G156</f>
        <v>2</v>
      </c>
      <c r="N156" s="20">
        <f>I156</f>
        <v>1535</v>
      </c>
      <c r="O156" s="80">
        <f>N156*M156</f>
        <v>3070</v>
      </c>
      <c r="Q156" s="79"/>
      <c r="R156" s="1"/>
      <c r="S156" s="80"/>
    </row>
    <row r="157" spans="2:19" ht="28.5" x14ac:dyDescent="0.2">
      <c r="B157" s="103" t="s">
        <v>401</v>
      </c>
      <c r="C157" s="17" t="s">
        <v>402</v>
      </c>
      <c r="D157" s="16" t="s">
        <v>61</v>
      </c>
      <c r="E157" s="16" t="s">
        <v>403</v>
      </c>
      <c r="F157" s="18" t="s">
        <v>58</v>
      </c>
      <c r="G157" s="17">
        <v>1</v>
      </c>
      <c r="H157" s="19">
        <v>55.08</v>
      </c>
      <c r="I157" s="19">
        <v>67.319999999999993</v>
      </c>
      <c r="J157" s="19">
        <v>67.319999999999993</v>
      </c>
      <c r="K157" s="104">
        <v>6.3942984893678784E-5</v>
      </c>
      <c r="M157" s="79"/>
      <c r="N157" s="1"/>
      <c r="O157" s="80"/>
      <c r="Q157" s="79">
        <v>2</v>
      </c>
      <c r="R157" s="2">
        <f>I157</f>
        <v>67.319999999999993</v>
      </c>
      <c r="S157" s="80">
        <f>Q157*R157</f>
        <v>134.63999999999999</v>
      </c>
    </row>
    <row r="158" spans="2:19" ht="39" hidden="1" customHeight="1" x14ac:dyDescent="0.2">
      <c r="B158" s="103" t="s">
        <v>404</v>
      </c>
      <c r="C158" s="17" t="s">
        <v>405</v>
      </c>
      <c r="D158" s="16" t="s">
        <v>61</v>
      </c>
      <c r="E158" s="16" t="s">
        <v>406</v>
      </c>
      <c r="F158" s="18" t="s">
        <v>58</v>
      </c>
      <c r="G158" s="17">
        <v>2</v>
      </c>
      <c r="H158" s="19">
        <v>62.8</v>
      </c>
      <c r="I158" s="19">
        <v>76.760000000000005</v>
      </c>
      <c r="J158" s="19">
        <v>153.52000000000001</v>
      </c>
      <c r="K158" s="105">
        <v>1.4581888058344574E-4</v>
      </c>
      <c r="M158" s="79"/>
      <c r="N158" s="1"/>
      <c r="O158" s="80"/>
      <c r="Q158" s="79"/>
      <c r="R158" s="1"/>
      <c r="S158" s="80"/>
    </row>
    <row r="159" spans="2:19" ht="26.1" hidden="1" customHeight="1" x14ac:dyDescent="0.2">
      <c r="B159" s="103" t="s">
        <v>407</v>
      </c>
      <c r="C159" s="17" t="s">
        <v>408</v>
      </c>
      <c r="D159" s="16" t="s">
        <v>61</v>
      </c>
      <c r="E159" s="16" t="s">
        <v>409</v>
      </c>
      <c r="F159" s="18" t="s">
        <v>58</v>
      </c>
      <c r="G159" s="17">
        <v>6</v>
      </c>
      <c r="H159" s="19">
        <v>67.36</v>
      </c>
      <c r="I159" s="19">
        <v>82.33</v>
      </c>
      <c r="J159" s="19">
        <v>493.98</v>
      </c>
      <c r="K159" s="105">
        <v>4.6920017346671784E-4</v>
      </c>
      <c r="M159" s="79"/>
      <c r="N159" s="1"/>
      <c r="O159" s="80"/>
      <c r="Q159" s="79"/>
      <c r="R159" s="1"/>
      <c r="S159" s="80"/>
    </row>
    <row r="160" spans="2:19" ht="24" hidden="1" customHeight="1" x14ac:dyDescent="0.2">
      <c r="B160" s="113" t="s">
        <v>410</v>
      </c>
      <c r="C160" s="37"/>
      <c r="D160" s="37"/>
      <c r="E160" s="37" t="s">
        <v>411</v>
      </c>
      <c r="F160" s="37"/>
      <c r="G160" s="38"/>
      <c r="H160" s="37"/>
      <c r="I160" s="37"/>
      <c r="J160" s="39">
        <v>6915.83</v>
      </c>
      <c r="K160" s="102">
        <v>6.5689069105355101E-3</v>
      </c>
      <c r="M160" s="79"/>
      <c r="N160" s="1"/>
      <c r="O160" s="80"/>
      <c r="Q160" s="79"/>
      <c r="R160" s="1"/>
      <c r="S160" s="80"/>
    </row>
    <row r="161" spans="2:19" ht="26.1" hidden="1" customHeight="1" x14ac:dyDescent="0.2">
      <c r="B161" s="103" t="s">
        <v>412</v>
      </c>
      <c r="C161" s="17" t="s">
        <v>413</v>
      </c>
      <c r="D161" s="16" t="s">
        <v>56</v>
      </c>
      <c r="E161" s="16" t="s">
        <v>414</v>
      </c>
      <c r="F161" s="18" t="s">
        <v>34</v>
      </c>
      <c r="G161" s="17">
        <v>8</v>
      </c>
      <c r="H161" s="19">
        <v>45.87</v>
      </c>
      <c r="I161" s="19">
        <v>56.06</v>
      </c>
      <c r="J161" s="19">
        <v>448.48</v>
      </c>
      <c r="K161" s="104">
        <v>4.2598261831724689E-4</v>
      </c>
      <c r="M161" s="79"/>
      <c r="N161" s="1"/>
      <c r="O161" s="80"/>
      <c r="Q161" s="79"/>
      <c r="R161" s="1"/>
      <c r="S161" s="80"/>
    </row>
    <row r="162" spans="2:19" ht="26.1" hidden="1" customHeight="1" x14ac:dyDescent="0.2">
      <c r="B162" s="103" t="s">
        <v>415</v>
      </c>
      <c r="C162" s="17" t="s">
        <v>416</v>
      </c>
      <c r="D162" s="16" t="s">
        <v>56</v>
      </c>
      <c r="E162" s="16" t="s">
        <v>417</v>
      </c>
      <c r="F162" s="18" t="s">
        <v>34</v>
      </c>
      <c r="G162" s="17">
        <v>9</v>
      </c>
      <c r="H162" s="19">
        <v>12.9</v>
      </c>
      <c r="I162" s="19">
        <v>15.76</v>
      </c>
      <c r="J162" s="19">
        <v>141.84</v>
      </c>
      <c r="K162" s="104">
        <v>1.3472479170111999E-4</v>
      </c>
      <c r="M162" s="79"/>
      <c r="N162" s="1"/>
      <c r="O162" s="80"/>
      <c r="Q162" s="79"/>
      <c r="R162" s="1"/>
      <c r="S162" s="80"/>
    </row>
    <row r="163" spans="2:19" ht="39" hidden="1" customHeight="1" x14ac:dyDescent="0.2">
      <c r="B163" s="103" t="s">
        <v>418</v>
      </c>
      <c r="C163" s="17" t="s">
        <v>419</v>
      </c>
      <c r="D163" s="16" t="s">
        <v>61</v>
      </c>
      <c r="E163" s="16" t="s">
        <v>420</v>
      </c>
      <c r="F163" s="18" t="s">
        <v>58</v>
      </c>
      <c r="G163" s="17">
        <v>5</v>
      </c>
      <c r="H163" s="19">
        <v>10.85</v>
      </c>
      <c r="I163" s="19">
        <v>13.26</v>
      </c>
      <c r="J163" s="19">
        <v>66.3</v>
      </c>
      <c r="K163" s="104">
        <v>6.2974151789229105E-5</v>
      </c>
      <c r="M163" s="79"/>
      <c r="N163" s="1"/>
      <c r="O163" s="80"/>
      <c r="Q163" s="79"/>
      <c r="R163" s="1"/>
      <c r="S163" s="80"/>
    </row>
    <row r="164" spans="2:19" ht="26.1" hidden="1" customHeight="1" x14ac:dyDescent="0.2">
      <c r="B164" s="103" t="s">
        <v>421</v>
      </c>
      <c r="C164" s="17" t="s">
        <v>422</v>
      </c>
      <c r="D164" s="16" t="s">
        <v>56</v>
      </c>
      <c r="E164" s="16" t="s">
        <v>423</v>
      </c>
      <c r="F164" s="18" t="s">
        <v>424</v>
      </c>
      <c r="G164" s="17">
        <v>85</v>
      </c>
      <c r="H164" s="19">
        <v>35.65</v>
      </c>
      <c r="I164" s="19">
        <v>43.57</v>
      </c>
      <c r="J164" s="19">
        <v>3703.45</v>
      </c>
      <c r="K164" s="104">
        <v>3.5176715300727079E-3</v>
      </c>
      <c r="M164" s="79"/>
      <c r="N164" s="1"/>
      <c r="O164" s="80"/>
      <c r="Q164" s="79"/>
      <c r="R164" s="1"/>
      <c r="S164" s="80"/>
    </row>
    <row r="165" spans="2:19" ht="26.1" hidden="1" customHeight="1" x14ac:dyDescent="0.2">
      <c r="B165" s="103" t="s">
        <v>425</v>
      </c>
      <c r="C165" s="17" t="s">
        <v>426</v>
      </c>
      <c r="D165" s="16" t="s">
        <v>56</v>
      </c>
      <c r="E165" s="16" t="s">
        <v>427</v>
      </c>
      <c r="F165" s="18" t="s">
        <v>424</v>
      </c>
      <c r="G165" s="17">
        <v>75.91</v>
      </c>
      <c r="H165" s="19">
        <v>11.19</v>
      </c>
      <c r="I165" s="19">
        <v>13.67</v>
      </c>
      <c r="J165" s="19">
        <v>1037.68</v>
      </c>
      <c r="K165" s="104">
        <v>9.8562621159347286E-4</v>
      </c>
      <c r="M165" s="79"/>
      <c r="N165" s="1"/>
      <c r="O165" s="80"/>
      <c r="Q165" s="79"/>
      <c r="R165" s="1"/>
      <c r="S165" s="80"/>
    </row>
    <row r="166" spans="2:19" ht="26.1" hidden="1" customHeight="1" x14ac:dyDescent="0.2">
      <c r="B166" s="103" t="s">
        <v>428</v>
      </c>
      <c r="C166" s="17" t="s">
        <v>429</v>
      </c>
      <c r="D166" s="16" t="s">
        <v>61</v>
      </c>
      <c r="E166" s="16" t="s">
        <v>430</v>
      </c>
      <c r="F166" s="18" t="s">
        <v>58</v>
      </c>
      <c r="G166" s="17">
        <v>6</v>
      </c>
      <c r="H166" s="19">
        <v>36.31</v>
      </c>
      <c r="I166" s="19">
        <v>44.38</v>
      </c>
      <c r="J166" s="19">
        <v>266.27999999999997</v>
      </c>
      <c r="K166" s="104">
        <v>2.5292243044398079E-4</v>
      </c>
      <c r="M166" s="79"/>
      <c r="N166" s="1"/>
      <c r="O166" s="80"/>
      <c r="Q166" s="79"/>
      <c r="R166" s="1"/>
      <c r="S166" s="80"/>
    </row>
    <row r="167" spans="2:19" ht="51.95" hidden="1" customHeight="1" x14ac:dyDescent="0.2">
      <c r="B167" s="103" t="s">
        <v>431</v>
      </c>
      <c r="C167" s="17" t="s">
        <v>432</v>
      </c>
      <c r="D167" s="16" t="s">
        <v>61</v>
      </c>
      <c r="E167" s="16" t="s">
        <v>433</v>
      </c>
      <c r="F167" s="18" t="s">
        <v>58</v>
      </c>
      <c r="G167" s="17">
        <v>10</v>
      </c>
      <c r="H167" s="19">
        <v>97.94</v>
      </c>
      <c r="I167" s="19">
        <v>119.71</v>
      </c>
      <c r="J167" s="19">
        <v>1197.0999999999999</v>
      </c>
      <c r="K167" s="104">
        <v>1.1370491268006962E-3</v>
      </c>
      <c r="M167" s="79"/>
      <c r="N167" s="1"/>
      <c r="O167" s="80"/>
      <c r="Q167" s="79"/>
      <c r="R167" s="1"/>
      <c r="S167" s="80"/>
    </row>
    <row r="168" spans="2:19" ht="51.95" hidden="1" customHeight="1" x14ac:dyDescent="0.2">
      <c r="B168" s="103" t="s">
        <v>434</v>
      </c>
      <c r="C168" s="17" t="s">
        <v>435</v>
      </c>
      <c r="D168" s="16" t="s">
        <v>61</v>
      </c>
      <c r="E168" s="16" t="s">
        <v>436</v>
      </c>
      <c r="F168" s="18" t="s">
        <v>58</v>
      </c>
      <c r="G168" s="17">
        <v>10</v>
      </c>
      <c r="H168" s="19">
        <v>4.4800000000000004</v>
      </c>
      <c r="I168" s="19">
        <v>5.47</v>
      </c>
      <c r="J168" s="19">
        <v>54.7</v>
      </c>
      <c r="K168" s="104">
        <v>5.1956049817056291E-5</v>
      </c>
      <c r="M168" s="79"/>
      <c r="N168" s="1"/>
      <c r="O168" s="80"/>
      <c r="Q168" s="79"/>
      <c r="R168" s="1"/>
      <c r="S168" s="80"/>
    </row>
    <row r="169" spans="2:19" x14ac:dyDescent="0.2">
      <c r="B169" s="90"/>
      <c r="C169" s="64">
        <v>34636</v>
      </c>
      <c r="D169" s="64" t="s">
        <v>61</v>
      </c>
      <c r="E169" s="63" t="s">
        <v>821</v>
      </c>
      <c r="F169" s="64" t="s">
        <v>58</v>
      </c>
      <c r="G169" s="66"/>
      <c r="H169" s="65"/>
      <c r="I169" s="66"/>
      <c r="J169" s="66"/>
      <c r="K169" s="107"/>
      <c r="L169" s="9"/>
      <c r="M169" s="81"/>
      <c r="N169" s="20"/>
      <c r="O169" s="80"/>
      <c r="Q169" s="90">
        <v>2</v>
      </c>
      <c r="R169" s="65">
        <f>603.69*(1-(8.52/100))</f>
        <v>552.25561200000004</v>
      </c>
      <c r="S169" s="91">
        <f>Q169*R169</f>
        <v>1104.5112240000001</v>
      </c>
    </row>
    <row r="170" spans="2:19" ht="42.75" x14ac:dyDescent="0.2">
      <c r="B170" s="90"/>
      <c r="C170" s="64" t="s">
        <v>824</v>
      </c>
      <c r="D170" s="64" t="s">
        <v>56</v>
      </c>
      <c r="E170" s="62" t="s">
        <v>822</v>
      </c>
      <c r="F170" s="64" t="s">
        <v>34</v>
      </c>
      <c r="G170" s="66"/>
      <c r="H170" s="65"/>
      <c r="I170" s="66"/>
      <c r="J170" s="66"/>
      <c r="K170" s="107"/>
      <c r="L170" s="9"/>
      <c r="M170" s="81"/>
      <c r="N170" s="20"/>
      <c r="O170" s="80"/>
      <c r="Q170" s="90">
        <v>1</v>
      </c>
      <c r="R170" s="65">
        <f>1421.85*(1-(8.52/100))</f>
        <v>1300.70838</v>
      </c>
      <c r="S170" s="91">
        <f>Q170*R170</f>
        <v>1300.70838</v>
      </c>
    </row>
    <row r="171" spans="2:19" ht="28.5" x14ac:dyDescent="0.2">
      <c r="B171" s="90"/>
      <c r="C171" s="64" t="s">
        <v>825</v>
      </c>
      <c r="D171" s="64" t="s">
        <v>56</v>
      </c>
      <c r="E171" s="62" t="s">
        <v>823</v>
      </c>
      <c r="F171" s="64" t="s">
        <v>34</v>
      </c>
      <c r="G171" s="66"/>
      <c r="H171" s="65"/>
      <c r="I171" s="66"/>
      <c r="J171" s="66"/>
      <c r="K171" s="107"/>
      <c r="L171" s="9"/>
      <c r="M171" s="81"/>
      <c r="N171" s="20"/>
      <c r="O171" s="80"/>
      <c r="Q171" s="90">
        <v>1</v>
      </c>
      <c r="R171" s="65">
        <f>777.17*(1-(8.52/100))</f>
        <v>710.95511599999998</v>
      </c>
      <c r="S171" s="91">
        <f>Q171*R171</f>
        <v>710.95511599999998</v>
      </c>
    </row>
    <row r="172" spans="2:19" ht="24" customHeight="1" x14ac:dyDescent="0.2">
      <c r="B172" s="101" t="s">
        <v>437</v>
      </c>
      <c r="C172" s="13"/>
      <c r="D172" s="13"/>
      <c r="E172" s="13" t="s">
        <v>438</v>
      </c>
      <c r="F172" s="13"/>
      <c r="G172" s="14"/>
      <c r="H172" s="13"/>
      <c r="I172" s="13"/>
      <c r="J172" s="15">
        <v>3542.14</v>
      </c>
      <c r="K172" s="102">
        <v>3.3644534241131217E-3</v>
      </c>
      <c r="M172" s="79"/>
      <c r="N172" s="1"/>
      <c r="O172" s="80"/>
      <c r="Q172" s="79"/>
      <c r="R172" s="1"/>
      <c r="S172" s="80"/>
    </row>
    <row r="173" spans="2:19" ht="24" hidden="1" customHeight="1" x14ac:dyDescent="0.2">
      <c r="B173" s="103" t="s">
        <v>439</v>
      </c>
      <c r="C173" s="17" t="s">
        <v>440</v>
      </c>
      <c r="D173" s="16" t="s">
        <v>23</v>
      </c>
      <c r="E173" s="16" t="s">
        <v>441</v>
      </c>
      <c r="F173" s="18" t="s">
        <v>34</v>
      </c>
      <c r="G173" s="17">
        <v>1</v>
      </c>
      <c r="H173" s="19">
        <v>2533.88</v>
      </c>
      <c r="I173" s="19">
        <v>2947.4</v>
      </c>
      <c r="J173" s="19">
        <v>2947.4</v>
      </c>
      <c r="K173" s="104">
        <v>2.7995477373088063E-3</v>
      </c>
      <c r="M173" s="79"/>
      <c r="N173" s="1"/>
      <c r="O173" s="80"/>
      <c r="Q173" s="79"/>
      <c r="R173" s="1"/>
      <c r="S173" s="80"/>
    </row>
    <row r="174" spans="2:19" ht="28.5" x14ac:dyDescent="0.2">
      <c r="B174" s="103" t="s">
        <v>442</v>
      </c>
      <c r="C174" s="17" t="s">
        <v>443</v>
      </c>
      <c r="D174" s="16" t="s">
        <v>23</v>
      </c>
      <c r="E174" s="16" t="s">
        <v>444</v>
      </c>
      <c r="F174" s="18" t="s">
        <v>34</v>
      </c>
      <c r="G174" s="17">
        <v>1</v>
      </c>
      <c r="H174" s="19">
        <v>486.58</v>
      </c>
      <c r="I174" s="19">
        <v>594.74</v>
      </c>
      <c r="J174" s="19">
        <v>594.74</v>
      </c>
      <c r="K174" s="114">
        <v>5.6490568680431545E-4</v>
      </c>
      <c r="M174" s="81"/>
      <c r="N174" s="20"/>
      <c r="O174" s="80"/>
      <c r="Q174" s="79">
        <v>1</v>
      </c>
      <c r="R174" s="2">
        <f>I174</f>
        <v>594.74</v>
      </c>
      <c r="S174" s="80">
        <f>R174*Q174</f>
        <v>594.74</v>
      </c>
    </row>
    <row r="175" spans="2:19" ht="24" customHeight="1" x14ac:dyDescent="0.2">
      <c r="B175" s="101" t="s">
        <v>445</v>
      </c>
      <c r="C175" s="13"/>
      <c r="D175" s="13"/>
      <c r="E175" s="13" t="s">
        <v>446</v>
      </c>
      <c r="F175" s="13"/>
      <c r="G175" s="14"/>
      <c r="H175" s="13"/>
      <c r="I175" s="13"/>
      <c r="J175" s="15">
        <v>24441.57</v>
      </c>
      <c r="K175" s="102">
        <v>2.3215492294827576E-2</v>
      </c>
      <c r="M175" s="79"/>
      <c r="N175" s="1"/>
      <c r="O175" s="80"/>
      <c r="Q175" s="79"/>
      <c r="R175" s="1"/>
      <c r="S175" s="80"/>
    </row>
    <row r="176" spans="2:19" ht="24" customHeight="1" x14ac:dyDescent="0.2">
      <c r="B176" s="101" t="s">
        <v>447</v>
      </c>
      <c r="C176" s="13"/>
      <c r="D176" s="13"/>
      <c r="E176" s="13" t="s">
        <v>448</v>
      </c>
      <c r="F176" s="13"/>
      <c r="G176" s="14"/>
      <c r="H176" s="13"/>
      <c r="I176" s="13"/>
      <c r="J176" s="15">
        <v>13400.15</v>
      </c>
      <c r="K176" s="102">
        <v>1.2727949926069961E-2</v>
      </c>
      <c r="M176" s="79"/>
      <c r="N176" s="1"/>
      <c r="O176" s="80"/>
      <c r="Q176" s="79"/>
      <c r="R176" s="1"/>
      <c r="S176" s="80"/>
    </row>
    <row r="177" spans="2:19" ht="51.95" hidden="1" customHeight="1" x14ac:dyDescent="0.2">
      <c r="B177" s="103" t="s">
        <v>449</v>
      </c>
      <c r="C177" s="17" t="s">
        <v>450</v>
      </c>
      <c r="D177" s="16" t="s">
        <v>61</v>
      </c>
      <c r="E177" s="16" t="s">
        <v>451</v>
      </c>
      <c r="F177" s="18" t="s">
        <v>58</v>
      </c>
      <c r="G177" s="17">
        <v>5</v>
      </c>
      <c r="H177" s="19">
        <v>5.94</v>
      </c>
      <c r="I177" s="19">
        <v>7.26</v>
      </c>
      <c r="J177" s="19">
        <v>36.299999999999997</v>
      </c>
      <c r="K177" s="104">
        <v>3.447906048188562E-5</v>
      </c>
      <c r="M177" s="79"/>
      <c r="N177" s="1"/>
      <c r="O177" s="80"/>
      <c r="Q177" s="79"/>
      <c r="R177" s="1"/>
      <c r="S177" s="80"/>
    </row>
    <row r="178" spans="2:19" ht="51.95" hidden="1" customHeight="1" x14ac:dyDescent="0.2">
      <c r="B178" s="103" t="s">
        <v>452</v>
      </c>
      <c r="C178" s="17" t="s">
        <v>453</v>
      </c>
      <c r="D178" s="16" t="s">
        <v>61</v>
      </c>
      <c r="E178" s="16" t="s">
        <v>454</v>
      </c>
      <c r="F178" s="18" t="s">
        <v>58</v>
      </c>
      <c r="G178" s="17">
        <v>10</v>
      </c>
      <c r="H178" s="19">
        <v>12.08</v>
      </c>
      <c r="I178" s="19">
        <v>14.76</v>
      </c>
      <c r="J178" s="19">
        <v>147.6</v>
      </c>
      <c r="K178" s="104">
        <v>1.4019584923212995E-4</v>
      </c>
      <c r="M178" s="79"/>
      <c r="N178" s="1"/>
      <c r="O178" s="80"/>
      <c r="Q178" s="79"/>
      <c r="R178" s="1"/>
      <c r="S178" s="80"/>
    </row>
    <row r="179" spans="2:19" ht="51.95" hidden="1" customHeight="1" x14ac:dyDescent="0.2">
      <c r="B179" s="103" t="s">
        <v>455</v>
      </c>
      <c r="C179" s="17" t="s">
        <v>456</v>
      </c>
      <c r="D179" s="16" t="s">
        <v>61</v>
      </c>
      <c r="E179" s="16" t="s">
        <v>457</v>
      </c>
      <c r="F179" s="18" t="s">
        <v>58</v>
      </c>
      <c r="G179" s="17">
        <v>9</v>
      </c>
      <c r="H179" s="19">
        <v>7.2</v>
      </c>
      <c r="I179" s="19">
        <v>8.8000000000000007</v>
      </c>
      <c r="J179" s="19">
        <v>79.2</v>
      </c>
      <c r="K179" s="104">
        <v>7.5227041051386808E-5</v>
      </c>
      <c r="M179" s="79"/>
      <c r="N179" s="1"/>
      <c r="O179" s="80"/>
      <c r="Q179" s="79"/>
      <c r="R179" s="1"/>
      <c r="S179" s="80"/>
    </row>
    <row r="180" spans="2:19" ht="51.95" hidden="1" customHeight="1" x14ac:dyDescent="0.2">
      <c r="B180" s="103" t="s">
        <v>458</v>
      </c>
      <c r="C180" s="17" t="s">
        <v>459</v>
      </c>
      <c r="D180" s="16" t="s">
        <v>61</v>
      </c>
      <c r="E180" s="16" t="s">
        <v>460</v>
      </c>
      <c r="F180" s="18" t="s">
        <v>58</v>
      </c>
      <c r="G180" s="17">
        <v>2</v>
      </c>
      <c r="H180" s="19">
        <v>21.54</v>
      </c>
      <c r="I180" s="19">
        <v>26.32</v>
      </c>
      <c r="J180" s="19">
        <v>52.64</v>
      </c>
      <c r="K180" s="104">
        <v>4.9999386880618701E-5</v>
      </c>
      <c r="M180" s="79"/>
      <c r="N180" s="1"/>
      <c r="O180" s="80"/>
      <c r="Q180" s="79"/>
      <c r="R180" s="1"/>
      <c r="S180" s="80"/>
    </row>
    <row r="181" spans="2:19" x14ac:dyDescent="0.2">
      <c r="B181" s="90"/>
      <c r="C181" s="64" t="s">
        <v>846</v>
      </c>
      <c r="D181" s="64" t="s">
        <v>56</v>
      </c>
      <c r="E181" s="63" t="s">
        <v>847</v>
      </c>
      <c r="F181" s="64" t="s">
        <v>34</v>
      </c>
      <c r="G181" s="66"/>
      <c r="H181" s="65"/>
      <c r="I181" s="66"/>
      <c r="J181" s="66"/>
      <c r="K181" s="107"/>
      <c r="L181" s="9"/>
      <c r="M181" s="81"/>
      <c r="N181" s="20"/>
      <c r="O181" s="80"/>
      <c r="Q181" s="90">
        <v>1</v>
      </c>
      <c r="R181" s="65">
        <f>606.7*(1-(8.52/100))</f>
        <v>555.00916000000007</v>
      </c>
      <c r="S181" s="91">
        <f t="shared" ref="S181" si="3">Q181*R181</f>
        <v>555.00916000000007</v>
      </c>
    </row>
    <row r="182" spans="2:19" ht="28.5" x14ac:dyDescent="0.2">
      <c r="B182" s="103" t="s">
        <v>461</v>
      </c>
      <c r="C182" s="17" t="s">
        <v>462</v>
      </c>
      <c r="D182" s="16" t="s">
        <v>56</v>
      </c>
      <c r="E182" s="16" t="s">
        <v>463</v>
      </c>
      <c r="F182" s="18" t="s">
        <v>34</v>
      </c>
      <c r="G182" s="17">
        <v>4</v>
      </c>
      <c r="H182" s="19">
        <v>29.7</v>
      </c>
      <c r="I182" s="19">
        <v>36.299999999999997</v>
      </c>
      <c r="J182" s="19">
        <v>145.19999999999999</v>
      </c>
      <c r="K182" s="104">
        <v>1.3791624192754248E-4</v>
      </c>
      <c r="M182" s="79"/>
      <c r="N182" s="2"/>
      <c r="O182" s="80"/>
      <c r="Q182" s="79">
        <v>1</v>
      </c>
      <c r="R182" s="2">
        <f>I182</f>
        <v>36.299999999999997</v>
      </c>
      <c r="S182" s="80">
        <f>Q182*R182</f>
        <v>36.299999999999997</v>
      </c>
    </row>
    <row r="183" spans="2:19" ht="28.5" hidden="1" x14ac:dyDescent="0.2">
      <c r="B183" s="103" t="s">
        <v>464</v>
      </c>
      <c r="C183" s="17" t="s">
        <v>465</v>
      </c>
      <c r="D183" s="16" t="s">
        <v>56</v>
      </c>
      <c r="E183" s="16" t="s">
        <v>466</v>
      </c>
      <c r="F183" s="18" t="s">
        <v>34</v>
      </c>
      <c r="G183" s="17">
        <v>4</v>
      </c>
      <c r="H183" s="19">
        <v>11.39</v>
      </c>
      <c r="I183" s="19">
        <v>13.92</v>
      </c>
      <c r="J183" s="19">
        <v>55.68</v>
      </c>
      <c r="K183" s="104">
        <v>5.2886889466429507E-5</v>
      </c>
      <c r="M183" s="79"/>
      <c r="N183" s="1"/>
      <c r="O183" s="80"/>
      <c r="Q183" s="79"/>
      <c r="R183" s="2"/>
      <c r="S183" s="80"/>
    </row>
    <row r="184" spans="2:19" ht="26.1" hidden="1" customHeight="1" x14ac:dyDescent="0.2">
      <c r="B184" s="103" t="s">
        <v>467</v>
      </c>
      <c r="C184" s="17" t="s">
        <v>468</v>
      </c>
      <c r="D184" s="16" t="s">
        <v>56</v>
      </c>
      <c r="E184" s="16" t="s">
        <v>469</v>
      </c>
      <c r="F184" s="18" t="s">
        <v>34</v>
      </c>
      <c r="G184" s="17">
        <v>4</v>
      </c>
      <c r="H184" s="19">
        <v>21.82</v>
      </c>
      <c r="I184" s="19">
        <v>26.67</v>
      </c>
      <c r="J184" s="19">
        <v>106.68</v>
      </c>
      <c r="K184" s="104">
        <v>1.0132854468891344E-4</v>
      </c>
      <c r="M184" s="79"/>
      <c r="N184" s="1"/>
      <c r="O184" s="80"/>
      <c r="Q184" s="79"/>
      <c r="R184" s="1"/>
      <c r="S184" s="80"/>
    </row>
    <row r="185" spans="2:19" ht="26.1" hidden="1" customHeight="1" x14ac:dyDescent="0.2">
      <c r="B185" s="103" t="s">
        <v>470</v>
      </c>
      <c r="C185" s="17" t="s">
        <v>471</v>
      </c>
      <c r="D185" s="16" t="s">
        <v>56</v>
      </c>
      <c r="E185" s="16" t="s">
        <v>472</v>
      </c>
      <c r="F185" s="18" t="s">
        <v>34</v>
      </c>
      <c r="G185" s="17">
        <v>4</v>
      </c>
      <c r="H185" s="19">
        <v>174.25</v>
      </c>
      <c r="I185" s="19">
        <v>212.98</v>
      </c>
      <c r="J185" s="19">
        <v>851.92</v>
      </c>
      <c r="K185" s="105">
        <v>8.0918460621840209E-4</v>
      </c>
      <c r="M185" s="79"/>
      <c r="N185" s="1"/>
      <c r="O185" s="80"/>
      <c r="Q185" s="79"/>
      <c r="R185" s="1"/>
      <c r="S185" s="80"/>
    </row>
    <row r="186" spans="2:19" ht="65.099999999999994" hidden="1" customHeight="1" x14ac:dyDescent="0.2">
      <c r="B186" s="103" t="s">
        <v>473</v>
      </c>
      <c r="C186" s="17" t="s">
        <v>474</v>
      </c>
      <c r="D186" s="16" t="s">
        <v>61</v>
      </c>
      <c r="E186" s="16" t="s">
        <v>475</v>
      </c>
      <c r="F186" s="18" t="s">
        <v>101</v>
      </c>
      <c r="G186" s="17">
        <v>10.16</v>
      </c>
      <c r="H186" s="19">
        <v>40.590000000000003</v>
      </c>
      <c r="I186" s="19">
        <v>49.61</v>
      </c>
      <c r="J186" s="19">
        <v>504.03</v>
      </c>
      <c r="K186" s="104">
        <v>4.7874602905467793E-4</v>
      </c>
      <c r="M186" s="79"/>
      <c r="N186" s="1"/>
      <c r="O186" s="80"/>
      <c r="Q186" s="79"/>
      <c r="R186" s="1"/>
      <c r="S186" s="80"/>
    </row>
    <row r="187" spans="2:19" ht="65.099999999999994" hidden="1" customHeight="1" x14ac:dyDescent="0.2">
      <c r="B187" s="103" t="s">
        <v>476</v>
      </c>
      <c r="C187" s="17" t="s">
        <v>477</v>
      </c>
      <c r="D187" s="16" t="s">
        <v>61</v>
      </c>
      <c r="E187" s="16" t="s">
        <v>478</v>
      </c>
      <c r="F187" s="18" t="s">
        <v>101</v>
      </c>
      <c r="G187" s="17">
        <v>27</v>
      </c>
      <c r="H187" s="19">
        <v>76.540000000000006</v>
      </c>
      <c r="I187" s="19">
        <v>93.55</v>
      </c>
      <c r="J187" s="19">
        <v>2525.85</v>
      </c>
      <c r="K187" s="104">
        <v>2.399144212621785E-3</v>
      </c>
      <c r="M187" s="79"/>
      <c r="N187" s="1"/>
      <c r="O187" s="80"/>
      <c r="Q187" s="79"/>
      <c r="R187" s="1"/>
      <c r="S187" s="80"/>
    </row>
    <row r="188" spans="2:19" ht="65.099999999999994" hidden="1" customHeight="1" x14ac:dyDescent="0.2">
      <c r="B188" s="103" t="s">
        <v>479</v>
      </c>
      <c r="C188" s="17" t="s">
        <v>165</v>
      </c>
      <c r="D188" s="16" t="s">
        <v>61</v>
      </c>
      <c r="E188" s="16" t="s">
        <v>166</v>
      </c>
      <c r="F188" s="18" t="s">
        <v>101</v>
      </c>
      <c r="G188" s="17">
        <v>44.33</v>
      </c>
      <c r="H188" s="19">
        <v>67.05</v>
      </c>
      <c r="I188" s="19">
        <v>81.95</v>
      </c>
      <c r="J188" s="19">
        <v>3632.84</v>
      </c>
      <c r="K188" s="104">
        <v>3.4506035834989904E-3</v>
      </c>
      <c r="M188" s="79"/>
      <c r="N188" s="1"/>
      <c r="O188" s="80"/>
      <c r="Q188" s="79"/>
      <c r="R188" s="1"/>
      <c r="S188" s="80"/>
    </row>
    <row r="189" spans="2:19" ht="51.95" hidden="1" customHeight="1" x14ac:dyDescent="0.2">
      <c r="B189" s="103" t="s">
        <v>480</v>
      </c>
      <c r="C189" s="17" t="s">
        <v>481</v>
      </c>
      <c r="D189" s="16" t="s">
        <v>61</v>
      </c>
      <c r="E189" s="16" t="s">
        <v>482</v>
      </c>
      <c r="F189" s="18" t="s">
        <v>58</v>
      </c>
      <c r="G189" s="17">
        <v>4</v>
      </c>
      <c r="H189" s="19">
        <v>36.86</v>
      </c>
      <c r="I189" s="19">
        <v>45.05</v>
      </c>
      <c r="J189" s="19">
        <v>180.2</v>
      </c>
      <c r="K189" s="104">
        <v>1.711605151194432E-4</v>
      </c>
      <c r="M189" s="79"/>
      <c r="N189" s="1"/>
      <c r="O189" s="80"/>
      <c r="Q189" s="79"/>
      <c r="R189" s="1"/>
      <c r="S189" s="80"/>
    </row>
    <row r="190" spans="2:19" ht="21" customHeight="1" x14ac:dyDescent="0.2">
      <c r="B190" s="115" t="s">
        <v>483</v>
      </c>
      <c r="C190" s="17" t="s">
        <v>484</v>
      </c>
      <c r="D190" s="16" t="s">
        <v>56</v>
      </c>
      <c r="E190" s="16" t="s">
        <v>485</v>
      </c>
      <c r="F190" s="18" t="s">
        <v>34</v>
      </c>
      <c r="G190" s="17">
        <v>6</v>
      </c>
      <c r="H190" s="19">
        <v>494.45</v>
      </c>
      <c r="I190" s="19">
        <v>604.36</v>
      </c>
      <c r="J190" s="19">
        <v>3626.16</v>
      </c>
      <c r="K190" s="108">
        <v>3.4442586765012217E-3</v>
      </c>
      <c r="M190" s="81"/>
      <c r="N190" s="20"/>
      <c r="O190" s="80"/>
      <c r="Q190" s="79">
        <v>2</v>
      </c>
      <c r="R190" s="2">
        <v>604.36</v>
      </c>
      <c r="S190" s="80">
        <f>R190*Q190</f>
        <v>1208.72</v>
      </c>
    </row>
    <row r="191" spans="2:19" ht="28.5" x14ac:dyDescent="0.2">
      <c r="B191" s="103" t="s">
        <v>486</v>
      </c>
      <c r="C191" s="17" t="s">
        <v>487</v>
      </c>
      <c r="D191" s="16" t="s">
        <v>61</v>
      </c>
      <c r="E191" s="16" t="s">
        <v>488</v>
      </c>
      <c r="F191" s="18" t="s">
        <v>58</v>
      </c>
      <c r="G191" s="17">
        <v>1</v>
      </c>
      <c r="H191" s="19">
        <v>406.92</v>
      </c>
      <c r="I191" s="19">
        <v>497.37</v>
      </c>
      <c r="J191" s="19">
        <v>497.37</v>
      </c>
      <c r="K191" s="104">
        <v>4.7242011878444764E-4</v>
      </c>
      <c r="M191" s="79">
        <v>1</v>
      </c>
      <c r="N191" s="20">
        <f>I191</f>
        <v>497.37</v>
      </c>
      <c r="O191" s="80">
        <f>M191*N191</f>
        <v>497.37</v>
      </c>
      <c r="Q191" s="79"/>
      <c r="R191" s="1"/>
      <c r="S191" s="80"/>
    </row>
    <row r="192" spans="2:19" ht="51.95" hidden="1" customHeight="1" x14ac:dyDescent="0.2">
      <c r="B192" s="103" t="s">
        <v>489</v>
      </c>
      <c r="C192" s="17" t="s">
        <v>490</v>
      </c>
      <c r="D192" s="16" t="s">
        <v>61</v>
      </c>
      <c r="E192" s="16" t="s">
        <v>491</v>
      </c>
      <c r="F192" s="18" t="s">
        <v>58</v>
      </c>
      <c r="G192" s="17">
        <v>4</v>
      </c>
      <c r="H192" s="19">
        <v>24.28</v>
      </c>
      <c r="I192" s="19">
        <v>29.67</v>
      </c>
      <c r="J192" s="19">
        <v>118.68</v>
      </c>
      <c r="K192" s="104">
        <v>1.1272658121185083E-4</v>
      </c>
      <c r="M192" s="79"/>
      <c r="N192" s="1"/>
      <c r="O192" s="80"/>
      <c r="Q192" s="79"/>
      <c r="R192" s="1"/>
      <c r="S192" s="80"/>
    </row>
    <row r="193" spans="2:19" ht="51.95" hidden="1" customHeight="1" x14ac:dyDescent="0.2">
      <c r="B193" s="103" t="s">
        <v>492</v>
      </c>
      <c r="C193" s="17" t="s">
        <v>493</v>
      </c>
      <c r="D193" s="16" t="s">
        <v>61</v>
      </c>
      <c r="E193" s="16" t="s">
        <v>494</v>
      </c>
      <c r="F193" s="18" t="s">
        <v>58</v>
      </c>
      <c r="G193" s="17">
        <v>8</v>
      </c>
      <c r="H193" s="19">
        <v>8.6999999999999993</v>
      </c>
      <c r="I193" s="19">
        <v>10.63</v>
      </c>
      <c r="J193" s="19">
        <v>85.04</v>
      </c>
      <c r="K193" s="104">
        <v>8.0774085492549668E-5</v>
      </c>
      <c r="M193" s="79"/>
      <c r="N193" s="1"/>
      <c r="O193" s="80"/>
      <c r="Q193" s="79"/>
      <c r="R193" s="1"/>
      <c r="S193" s="80"/>
    </row>
    <row r="194" spans="2:19" ht="51.95" hidden="1" customHeight="1" x14ac:dyDescent="0.2">
      <c r="B194" s="103" t="s">
        <v>495</v>
      </c>
      <c r="C194" s="17" t="s">
        <v>496</v>
      </c>
      <c r="D194" s="16" t="s">
        <v>61</v>
      </c>
      <c r="E194" s="16" t="s">
        <v>497</v>
      </c>
      <c r="F194" s="18" t="s">
        <v>58</v>
      </c>
      <c r="G194" s="17">
        <v>4</v>
      </c>
      <c r="H194" s="19">
        <v>29.68</v>
      </c>
      <c r="I194" s="19">
        <v>36.270000000000003</v>
      </c>
      <c r="J194" s="19">
        <v>145.08000000000001</v>
      </c>
      <c r="K194" s="104">
        <v>1.3780226156231309E-4</v>
      </c>
      <c r="M194" s="79"/>
      <c r="N194" s="1"/>
      <c r="O194" s="80"/>
      <c r="Q194" s="79"/>
      <c r="R194" s="1"/>
      <c r="S194" s="80"/>
    </row>
    <row r="195" spans="2:19" ht="51.95" hidden="1" customHeight="1" x14ac:dyDescent="0.2">
      <c r="B195" s="103" t="s">
        <v>498</v>
      </c>
      <c r="C195" s="17" t="s">
        <v>499</v>
      </c>
      <c r="D195" s="16" t="s">
        <v>61</v>
      </c>
      <c r="E195" s="16" t="s">
        <v>500</v>
      </c>
      <c r="F195" s="18" t="s">
        <v>58</v>
      </c>
      <c r="G195" s="17">
        <v>25</v>
      </c>
      <c r="H195" s="19">
        <v>17.690000000000001</v>
      </c>
      <c r="I195" s="19">
        <v>21.62</v>
      </c>
      <c r="J195" s="19">
        <v>540.5</v>
      </c>
      <c r="K195" s="104">
        <v>5.1338656172063844E-4</v>
      </c>
      <c r="M195" s="79"/>
      <c r="N195" s="1"/>
      <c r="O195" s="80"/>
      <c r="Q195" s="79"/>
      <c r="R195" s="1"/>
      <c r="S195" s="80"/>
    </row>
    <row r="196" spans="2:19" ht="51.95" hidden="1" customHeight="1" x14ac:dyDescent="0.2">
      <c r="B196" s="103" t="s">
        <v>501</v>
      </c>
      <c r="C196" s="17" t="s">
        <v>459</v>
      </c>
      <c r="D196" s="16" t="s">
        <v>61</v>
      </c>
      <c r="E196" s="16" t="s">
        <v>460</v>
      </c>
      <c r="F196" s="18" t="s">
        <v>58</v>
      </c>
      <c r="G196" s="17">
        <v>1</v>
      </c>
      <c r="H196" s="19">
        <v>21.54</v>
      </c>
      <c r="I196" s="19">
        <v>26.32</v>
      </c>
      <c r="J196" s="19">
        <v>26.32</v>
      </c>
      <c r="K196" s="104">
        <v>2.499969344030935E-5</v>
      </c>
      <c r="M196" s="79"/>
      <c r="N196" s="1"/>
      <c r="O196" s="80"/>
      <c r="Q196" s="79"/>
      <c r="R196" s="1"/>
      <c r="S196" s="80"/>
    </row>
    <row r="197" spans="2:19" ht="39" hidden="1" customHeight="1" x14ac:dyDescent="0.2">
      <c r="B197" s="103" t="s">
        <v>502</v>
      </c>
      <c r="C197" s="17" t="s">
        <v>503</v>
      </c>
      <c r="D197" s="16" t="s">
        <v>61</v>
      </c>
      <c r="E197" s="16" t="s">
        <v>504</v>
      </c>
      <c r="F197" s="18" t="s">
        <v>58</v>
      </c>
      <c r="G197" s="17">
        <v>2</v>
      </c>
      <c r="H197" s="19">
        <v>17.54</v>
      </c>
      <c r="I197" s="19">
        <v>21.43</v>
      </c>
      <c r="J197" s="19">
        <v>42.86</v>
      </c>
      <c r="K197" s="104">
        <v>4.0709987114424725E-5</v>
      </c>
      <c r="M197" s="79"/>
      <c r="N197" s="1"/>
      <c r="O197" s="80"/>
      <c r="Q197" s="79"/>
      <c r="R197" s="1"/>
      <c r="S197" s="80"/>
    </row>
    <row r="198" spans="2:19" ht="24" hidden="1" customHeight="1" x14ac:dyDescent="0.2">
      <c r="B198" s="101" t="s">
        <v>505</v>
      </c>
      <c r="C198" s="13"/>
      <c r="D198" s="13"/>
      <c r="E198" s="13" t="s">
        <v>506</v>
      </c>
      <c r="F198" s="13"/>
      <c r="G198" s="14"/>
      <c r="H198" s="13"/>
      <c r="I198" s="13"/>
      <c r="J198" s="15">
        <v>11041.42</v>
      </c>
      <c r="K198" s="102">
        <v>1.0487542368757617E-2</v>
      </c>
      <c r="M198" s="79"/>
      <c r="N198" s="1"/>
      <c r="O198" s="80"/>
      <c r="Q198" s="79"/>
      <c r="R198" s="1"/>
      <c r="S198" s="80"/>
    </row>
    <row r="199" spans="2:19" ht="42.75" hidden="1" x14ac:dyDescent="0.2">
      <c r="B199" s="103" t="s">
        <v>507</v>
      </c>
      <c r="C199" s="17" t="s">
        <v>508</v>
      </c>
      <c r="D199" s="16" t="s">
        <v>61</v>
      </c>
      <c r="E199" s="16" t="s">
        <v>509</v>
      </c>
      <c r="F199" s="18" t="s">
        <v>58</v>
      </c>
      <c r="G199" s="17">
        <v>1</v>
      </c>
      <c r="H199" s="19">
        <v>4075.74</v>
      </c>
      <c r="I199" s="19">
        <v>4981.7700000000004</v>
      </c>
      <c r="J199" s="19">
        <v>4981.7700000000004</v>
      </c>
      <c r="K199" s="105">
        <v>4.7318663674061519E-3</v>
      </c>
      <c r="M199" s="79"/>
      <c r="N199" s="1"/>
      <c r="O199" s="80"/>
      <c r="Q199" s="79"/>
      <c r="R199" s="1"/>
      <c r="S199" s="80"/>
    </row>
    <row r="200" spans="2:19" ht="26.1" hidden="1" customHeight="1" x14ac:dyDescent="0.2">
      <c r="B200" s="103" t="s">
        <v>510</v>
      </c>
      <c r="C200" s="17" t="s">
        <v>511</v>
      </c>
      <c r="D200" s="16" t="s">
        <v>61</v>
      </c>
      <c r="E200" s="16" t="s">
        <v>512</v>
      </c>
      <c r="F200" s="18" t="s">
        <v>58</v>
      </c>
      <c r="G200" s="17">
        <v>1</v>
      </c>
      <c r="H200" s="19">
        <v>4425.21</v>
      </c>
      <c r="I200" s="19">
        <v>5408.93</v>
      </c>
      <c r="J200" s="19">
        <v>5408.93</v>
      </c>
      <c r="K200" s="105">
        <v>5.1375984741676472E-3</v>
      </c>
      <c r="M200" s="79"/>
      <c r="N200" s="1"/>
      <c r="O200" s="80"/>
      <c r="Q200" s="79"/>
      <c r="R200" s="1"/>
      <c r="S200" s="80"/>
    </row>
    <row r="201" spans="2:19" ht="26.1" hidden="1" customHeight="1" x14ac:dyDescent="0.2">
      <c r="B201" s="103" t="s">
        <v>513</v>
      </c>
      <c r="C201" s="17" t="s">
        <v>514</v>
      </c>
      <c r="D201" s="16" t="s">
        <v>23</v>
      </c>
      <c r="E201" s="16" t="s">
        <v>515</v>
      </c>
      <c r="F201" s="18" t="s">
        <v>34</v>
      </c>
      <c r="G201" s="17">
        <v>2</v>
      </c>
      <c r="H201" s="19">
        <v>266.19</v>
      </c>
      <c r="I201" s="19">
        <v>325.36</v>
      </c>
      <c r="J201" s="19">
        <v>650.72</v>
      </c>
      <c r="K201" s="108">
        <v>6.1807752718381849E-4</v>
      </c>
      <c r="M201" s="81"/>
      <c r="N201" s="20"/>
      <c r="O201" s="80"/>
      <c r="Q201" s="79"/>
      <c r="R201" s="1"/>
      <c r="S201" s="80"/>
    </row>
    <row r="202" spans="2:19" ht="24" customHeight="1" x14ac:dyDescent="0.2">
      <c r="B202" s="101" t="s">
        <v>516</v>
      </c>
      <c r="C202" s="13"/>
      <c r="D202" s="13"/>
      <c r="E202" s="13" t="s">
        <v>517</v>
      </c>
      <c r="F202" s="13"/>
      <c r="G202" s="14"/>
      <c r="H202" s="13"/>
      <c r="I202" s="13"/>
      <c r="J202" s="15">
        <v>11600.85</v>
      </c>
      <c r="K202" s="102">
        <v>1.1018909333093189E-2</v>
      </c>
      <c r="M202" s="79"/>
      <c r="N202" s="1"/>
      <c r="O202" s="80"/>
      <c r="Q202" s="79"/>
      <c r="R202" s="1"/>
      <c r="S202" s="80"/>
    </row>
    <row r="203" spans="2:19" ht="24" customHeight="1" x14ac:dyDescent="0.2">
      <c r="B203" s="101" t="s">
        <v>518</v>
      </c>
      <c r="C203" s="13"/>
      <c r="D203" s="13"/>
      <c r="E203" s="13" t="s">
        <v>519</v>
      </c>
      <c r="F203" s="13"/>
      <c r="G203" s="14"/>
      <c r="H203" s="13"/>
      <c r="I203" s="13"/>
      <c r="J203" s="15">
        <v>7984.61</v>
      </c>
      <c r="K203" s="102">
        <v>7.5840730334509289E-3</v>
      </c>
      <c r="M203" s="79"/>
      <c r="N203" s="1"/>
      <c r="O203" s="80"/>
      <c r="Q203" s="79"/>
      <c r="R203" s="1"/>
      <c r="S203" s="80"/>
    </row>
    <row r="204" spans="2:19" ht="39" hidden="1" customHeight="1" x14ac:dyDescent="0.2">
      <c r="B204" s="103" t="s">
        <v>520</v>
      </c>
      <c r="C204" s="17" t="s">
        <v>521</v>
      </c>
      <c r="D204" s="16" t="s">
        <v>61</v>
      </c>
      <c r="E204" s="16" t="s">
        <v>522</v>
      </c>
      <c r="F204" s="18" t="s">
        <v>58</v>
      </c>
      <c r="G204" s="17">
        <v>2</v>
      </c>
      <c r="H204" s="19">
        <v>687.89</v>
      </c>
      <c r="I204" s="19">
        <v>840.8</v>
      </c>
      <c r="J204" s="19">
        <v>1681.6</v>
      </c>
      <c r="K204" s="104">
        <v>1.5972448514142935E-3</v>
      </c>
      <c r="M204" s="79"/>
      <c r="N204" s="1"/>
      <c r="O204" s="80"/>
      <c r="Q204" s="79"/>
      <c r="R204" s="1"/>
      <c r="S204" s="80"/>
    </row>
    <row r="205" spans="2:19" ht="26.1" hidden="1" customHeight="1" x14ac:dyDescent="0.2">
      <c r="B205" s="103" t="s">
        <v>523</v>
      </c>
      <c r="C205" s="17" t="s">
        <v>524</v>
      </c>
      <c r="D205" s="16" t="s">
        <v>61</v>
      </c>
      <c r="E205" s="16" t="s">
        <v>525</v>
      </c>
      <c r="F205" s="18" t="s">
        <v>58</v>
      </c>
      <c r="G205" s="17">
        <v>2</v>
      </c>
      <c r="H205" s="19">
        <v>269.93</v>
      </c>
      <c r="I205" s="19">
        <v>329.93</v>
      </c>
      <c r="J205" s="19">
        <v>659.86</v>
      </c>
      <c r="K205" s="104">
        <v>6.2675903166878907E-4</v>
      </c>
      <c r="M205" s="79"/>
      <c r="N205" s="1"/>
      <c r="O205" s="80"/>
      <c r="Q205" s="79"/>
      <c r="R205" s="1"/>
      <c r="S205" s="80"/>
    </row>
    <row r="206" spans="2:19" ht="71.25" x14ac:dyDescent="0.2">
      <c r="B206" s="103" t="s">
        <v>526</v>
      </c>
      <c r="C206" s="17" t="s">
        <v>527</v>
      </c>
      <c r="D206" s="16" t="s">
        <v>61</v>
      </c>
      <c r="E206" s="16" t="s">
        <v>528</v>
      </c>
      <c r="F206" s="18" t="s">
        <v>58</v>
      </c>
      <c r="G206" s="17">
        <v>1</v>
      </c>
      <c r="H206" s="19">
        <v>780.41</v>
      </c>
      <c r="I206" s="19">
        <v>953.89</v>
      </c>
      <c r="J206" s="19">
        <v>953.89</v>
      </c>
      <c r="K206" s="104">
        <v>9.0603942157206261E-4</v>
      </c>
      <c r="M206" s="79">
        <v>1</v>
      </c>
      <c r="N206" s="2">
        <f>I206</f>
        <v>953.89</v>
      </c>
      <c r="O206" s="80">
        <f>M206*N206</f>
        <v>953.89</v>
      </c>
      <c r="Q206" s="79"/>
      <c r="R206" s="1"/>
      <c r="S206" s="80"/>
    </row>
    <row r="207" spans="2:19" ht="26.1" hidden="1" customHeight="1" x14ac:dyDescent="0.2">
      <c r="B207" s="103" t="s">
        <v>529</v>
      </c>
      <c r="C207" s="17" t="s">
        <v>530</v>
      </c>
      <c r="D207" s="16" t="s">
        <v>23</v>
      </c>
      <c r="E207" s="16" t="s">
        <v>531</v>
      </c>
      <c r="F207" s="18" t="s">
        <v>58</v>
      </c>
      <c r="G207" s="17">
        <v>2</v>
      </c>
      <c r="H207" s="19">
        <v>1122.29</v>
      </c>
      <c r="I207" s="19">
        <v>1371.77</v>
      </c>
      <c r="J207" s="19">
        <v>2743.54</v>
      </c>
      <c r="K207" s="104">
        <v>2.6059140935116381E-3</v>
      </c>
      <c r="M207" s="79"/>
      <c r="N207" s="1"/>
      <c r="O207" s="80"/>
      <c r="Q207" s="79"/>
      <c r="R207" s="1"/>
      <c r="S207" s="80"/>
    </row>
    <row r="208" spans="2:19" ht="65.099999999999994" hidden="1" customHeight="1" x14ac:dyDescent="0.2">
      <c r="B208" s="103" t="s">
        <v>532</v>
      </c>
      <c r="C208" s="17" t="s">
        <v>533</v>
      </c>
      <c r="D208" s="16" t="s">
        <v>23</v>
      </c>
      <c r="E208" s="16" t="s">
        <v>534</v>
      </c>
      <c r="F208" s="18" t="s">
        <v>34</v>
      </c>
      <c r="G208" s="17">
        <v>2</v>
      </c>
      <c r="H208" s="19">
        <v>578.16</v>
      </c>
      <c r="I208" s="19">
        <v>706.68</v>
      </c>
      <c r="J208" s="19">
        <v>1413.36</v>
      </c>
      <c r="K208" s="104">
        <v>1.3424607416715664E-3</v>
      </c>
      <c r="M208" s="79"/>
      <c r="N208" s="1"/>
      <c r="O208" s="80"/>
      <c r="Q208" s="79"/>
      <c r="R208" s="1"/>
      <c r="S208" s="80"/>
    </row>
    <row r="209" spans="2:19" ht="39" customHeight="1" x14ac:dyDescent="0.2">
      <c r="B209" s="103" t="s">
        <v>535</v>
      </c>
      <c r="C209" s="17" t="s">
        <v>536</v>
      </c>
      <c r="D209" s="16" t="s">
        <v>61</v>
      </c>
      <c r="E209" s="16" t="s">
        <v>537</v>
      </c>
      <c r="F209" s="18" t="s">
        <v>58</v>
      </c>
      <c r="G209" s="17">
        <v>1</v>
      </c>
      <c r="H209" s="19">
        <v>435.54</v>
      </c>
      <c r="I209" s="19">
        <v>532.36</v>
      </c>
      <c r="J209" s="19">
        <v>532.36</v>
      </c>
      <c r="K209" s="104">
        <v>5.0565489361257925E-4</v>
      </c>
      <c r="M209" s="79">
        <v>1</v>
      </c>
      <c r="N209" s="2">
        <f>I209</f>
        <v>532.36</v>
      </c>
      <c r="O209" s="80">
        <f>M209*N209</f>
        <v>532.36</v>
      </c>
      <c r="Q209" s="79"/>
      <c r="R209" s="1"/>
      <c r="S209" s="80"/>
    </row>
    <row r="210" spans="2:19" ht="24" hidden="1" customHeight="1" x14ac:dyDescent="0.2">
      <c r="B210" s="112" t="s">
        <v>538</v>
      </c>
      <c r="C210" s="34"/>
      <c r="D210" s="34"/>
      <c r="E210" s="34" t="s">
        <v>539</v>
      </c>
      <c r="F210" s="34"/>
      <c r="G210" s="35"/>
      <c r="H210" s="34"/>
      <c r="I210" s="34"/>
      <c r="J210" s="36">
        <v>3616.24</v>
      </c>
      <c r="K210" s="102">
        <v>3.4348362996422604E-3</v>
      </c>
      <c r="M210" s="79"/>
      <c r="N210" s="1"/>
      <c r="O210" s="80"/>
      <c r="Q210" s="79"/>
      <c r="R210" s="1"/>
      <c r="S210" s="80"/>
    </row>
    <row r="211" spans="2:19" ht="39" hidden="1" customHeight="1" x14ac:dyDescent="0.2">
      <c r="B211" s="103" t="s">
        <v>540</v>
      </c>
      <c r="C211" s="17" t="s">
        <v>541</v>
      </c>
      <c r="D211" s="16" t="s">
        <v>61</v>
      </c>
      <c r="E211" s="16" t="s">
        <v>542</v>
      </c>
      <c r="F211" s="18" t="s">
        <v>58</v>
      </c>
      <c r="G211" s="17">
        <v>4</v>
      </c>
      <c r="H211" s="19">
        <v>65.790000000000006</v>
      </c>
      <c r="I211" s="19">
        <v>80.41</v>
      </c>
      <c r="J211" s="19">
        <v>321.64</v>
      </c>
      <c r="K211" s="104">
        <v>3.0550537226979862E-4</v>
      </c>
      <c r="M211" s="79"/>
      <c r="N211" s="1"/>
      <c r="O211" s="80"/>
      <c r="Q211" s="79"/>
      <c r="R211" s="1"/>
      <c r="S211" s="80"/>
    </row>
    <row r="212" spans="2:19" ht="24" hidden="1" customHeight="1" x14ac:dyDescent="0.2">
      <c r="B212" s="103" t="s">
        <v>543</v>
      </c>
      <c r="C212" s="17" t="s">
        <v>544</v>
      </c>
      <c r="D212" s="16" t="s">
        <v>23</v>
      </c>
      <c r="E212" s="16" t="s">
        <v>545</v>
      </c>
      <c r="F212" s="18" t="s">
        <v>34</v>
      </c>
      <c r="G212" s="17">
        <v>4</v>
      </c>
      <c r="H212" s="19">
        <v>271.75</v>
      </c>
      <c r="I212" s="19">
        <v>332.16</v>
      </c>
      <c r="J212" s="19">
        <v>1328.64</v>
      </c>
      <c r="K212" s="104">
        <v>1.2619906038196284E-3</v>
      </c>
      <c r="M212" s="79"/>
      <c r="N212" s="1"/>
      <c r="O212" s="80"/>
      <c r="Q212" s="79"/>
      <c r="R212" s="1"/>
      <c r="S212" s="80"/>
    </row>
    <row r="213" spans="2:19" ht="24" hidden="1" customHeight="1" x14ac:dyDescent="0.2">
      <c r="B213" s="103" t="s">
        <v>546</v>
      </c>
      <c r="C213" s="17" t="s">
        <v>547</v>
      </c>
      <c r="D213" s="16" t="s">
        <v>23</v>
      </c>
      <c r="E213" s="16" t="s">
        <v>548</v>
      </c>
      <c r="F213" s="18" t="s">
        <v>34</v>
      </c>
      <c r="G213" s="17">
        <v>2</v>
      </c>
      <c r="H213" s="19">
        <v>804.21</v>
      </c>
      <c r="I213" s="19">
        <v>982.98</v>
      </c>
      <c r="J213" s="19">
        <v>1965.96</v>
      </c>
      <c r="K213" s="104">
        <v>1.8673403235528333E-3</v>
      </c>
      <c r="M213" s="79"/>
      <c r="N213" s="1"/>
      <c r="O213" s="80"/>
      <c r="Q213" s="79"/>
      <c r="R213" s="1"/>
      <c r="S213" s="80"/>
    </row>
    <row r="214" spans="2:19" ht="24" customHeight="1" x14ac:dyDescent="0.2">
      <c r="B214" s="116" t="s">
        <v>549</v>
      </c>
      <c r="C214" s="40"/>
      <c r="D214" s="40"/>
      <c r="E214" s="40" t="s">
        <v>550</v>
      </c>
      <c r="F214" s="40"/>
      <c r="G214" s="41"/>
      <c r="H214" s="40"/>
      <c r="I214" s="40"/>
      <c r="J214" s="42">
        <v>135803.75</v>
      </c>
      <c r="K214" s="102">
        <v>0.12899134187098826</v>
      </c>
      <c r="M214" s="79"/>
      <c r="N214" s="1"/>
      <c r="O214" s="80"/>
      <c r="Q214" s="79"/>
      <c r="R214" s="1"/>
      <c r="S214" s="80"/>
    </row>
    <row r="215" spans="2:19" ht="24" customHeight="1" x14ac:dyDescent="0.2">
      <c r="B215" s="116" t="s">
        <v>551</v>
      </c>
      <c r="C215" s="40"/>
      <c r="D215" s="40"/>
      <c r="E215" s="40" t="s">
        <v>552</v>
      </c>
      <c r="F215" s="40"/>
      <c r="G215" s="41"/>
      <c r="H215" s="40"/>
      <c r="I215" s="40"/>
      <c r="J215" s="42">
        <v>33264.44</v>
      </c>
      <c r="K215" s="102">
        <v>3.1595775169588301E-2</v>
      </c>
      <c r="M215" s="79"/>
      <c r="N215" s="1"/>
      <c r="O215" s="80"/>
      <c r="Q215" s="79"/>
      <c r="R215" s="1"/>
      <c r="S215" s="80"/>
    </row>
    <row r="216" spans="2:19" ht="42.75" x14ac:dyDescent="0.2">
      <c r="B216" s="90"/>
      <c r="C216" s="64" t="s">
        <v>826</v>
      </c>
      <c r="D216" s="64" t="s">
        <v>61</v>
      </c>
      <c r="E216" s="62" t="s">
        <v>836</v>
      </c>
      <c r="F216" s="64" t="s">
        <v>58</v>
      </c>
      <c r="G216" s="66"/>
      <c r="H216" s="65"/>
      <c r="I216" s="66"/>
      <c r="J216" s="66"/>
      <c r="K216" s="107"/>
      <c r="L216" s="9"/>
      <c r="M216" s="81"/>
      <c r="N216" s="20"/>
      <c r="O216" s="80"/>
      <c r="Q216" s="90">
        <v>3</v>
      </c>
      <c r="R216" s="65">
        <f>3235.47*(1-(8.52/100))</f>
        <v>2959.8079560000001</v>
      </c>
      <c r="S216" s="91">
        <f>Q216*R216</f>
        <v>8879.4238679999999</v>
      </c>
    </row>
    <row r="217" spans="2:19" ht="42.75" x14ac:dyDescent="0.2">
      <c r="B217" s="90"/>
      <c r="C217" s="64" t="s">
        <v>827</v>
      </c>
      <c r="D217" s="64" t="s">
        <v>61</v>
      </c>
      <c r="E217" s="62" t="s">
        <v>837</v>
      </c>
      <c r="F217" s="64" t="s">
        <v>58</v>
      </c>
      <c r="G217" s="66"/>
      <c r="H217" s="65"/>
      <c r="I217" s="66"/>
      <c r="J217" s="66"/>
      <c r="K217" s="107"/>
      <c r="L217" s="9"/>
      <c r="M217" s="81"/>
      <c r="N217" s="20"/>
      <c r="O217" s="80"/>
      <c r="Q217" s="90">
        <v>1</v>
      </c>
      <c r="R217" s="65">
        <f>4710.69*(1-(8.52/100))</f>
        <v>4309.3392119999999</v>
      </c>
      <c r="S217" s="91">
        <f t="shared" ref="S217:S225" si="4">Q217*R217</f>
        <v>4309.3392119999999</v>
      </c>
    </row>
    <row r="218" spans="2:19" ht="42.75" x14ac:dyDescent="0.2">
      <c r="B218" s="90"/>
      <c r="C218" s="64" t="s">
        <v>828</v>
      </c>
      <c r="D218" s="64" t="s">
        <v>61</v>
      </c>
      <c r="E218" s="62" t="s">
        <v>838</v>
      </c>
      <c r="F218" s="64" t="s">
        <v>58</v>
      </c>
      <c r="G218" s="66"/>
      <c r="H218" s="65"/>
      <c r="I218" s="66"/>
      <c r="J218" s="66"/>
      <c r="K218" s="107"/>
      <c r="L218" s="9"/>
      <c r="M218" s="81"/>
      <c r="N218" s="20"/>
      <c r="O218" s="80"/>
      <c r="Q218" s="90">
        <v>1</v>
      </c>
      <c r="R218" s="65">
        <f>2911.95*(1-(8.52/100))</f>
        <v>2663.8518600000002</v>
      </c>
      <c r="S218" s="91">
        <f t="shared" si="4"/>
        <v>2663.8518600000002</v>
      </c>
    </row>
    <row r="219" spans="2:19" ht="57" x14ac:dyDescent="0.2">
      <c r="B219" s="90"/>
      <c r="C219" s="64" t="s">
        <v>829</v>
      </c>
      <c r="D219" s="64" t="s">
        <v>61</v>
      </c>
      <c r="E219" s="62" t="s">
        <v>839</v>
      </c>
      <c r="F219" s="64" t="s">
        <v>58</v>
      </c>
      <c r="G219" s="66"/>
      <c r="H219" s="65"/>
      <c r="I219" s="66"/>
      <c r="J219" s="66"/>
      <c r="K219" s="107"/>
      <c r="L219" s="9"/>
      <c r="M219" s="81"/>
      <c r="N219" s="20"/>
      <c r="O219" s="80"/>
      <c r="Q219" s="90">
        <v>1</v>
      </c>
      <c r="R219" s="65">
        <f>2280.14*(1-(8.52/100))</f>
        <v>2085.8720720000001</v>
      </c>
      <c r="S219" s="91">
        <f t="shared" si="4"/>
        <v>2085.8720720000001</v>
      </c>
    </row>
    <row r="220" spans="2:19" ht="28.5" x14ac:dyDescent="0.2">
      <c r="B220" s="90"/>
      <c r="C220" s="64" t="s">
        <v>830</v>
      </c>
      <c r="D220" s="64" t="s">
        <v>61</v>
      </c>
      <c r="E220" s="62" t="s">
        <v>840</v>
      </c>
      <c r="F220" s="64" t="s">
        <v>58</v>
      </c>
      <c r="G220" s="66"/>
      <c r="H220" s="65"/>
      <c r="I220" s="66"/>
      <c r="J220" s="66"/>
      <c r="K220" s="107"/>
      <c r="L220" s="9"/>
      <c r="M220" s="81"/>
      <c r="N220" s="20"/>
      <c r="O220" s="80"/>
      <c r="Q220" s="90">
        <v>9</v>
      </c>
      <c r="R220" s="65">
        <f>15.81*(1-(8.52/100))</f>
        <v>14.462988000000001</v>
      </c>
      <c r="S220" s="91">
        <f t="shared" si="4"/>
        <v>130.16689200000002</v>
      </c>
    </row>
    <row r="221" spans="2:19" ht="28.5" x14ac:dyDescent="0.2">
      <c r="B221" s="90"/>
      <c r="C221" s="64" t="s">
        <v>831</v>
      </c>
      <c r="D221" s="64" t="s">
        <v>61</v>
      </c>
      <c r="E221" s="62" t="s">
        <v>841</v>
      </c>
      <c r="F221" s="64" t="s">
        <v>58</v>
      </c>
      <c r="G221" s="66"/>
      <c r="H221" s="65"/>
      <c r="I221" s="66"/>
      <c r="J221" s="66"/>
      <c r="K221" s="107"/>
      <c r="L221" s="9"/>
      <c r="M221" s="81"/>
      <c r="N221" s="20"/>
      <c r="O221" s="80"/>
      <c r="Q221" s="90">
        <v>2</v>
      </c>
      <c r="R221" s="65">
        <f>81.57*(1-(8.52/100))</f>
        <v>74.620236000000006</v>
      </c>
      <c r="S221" s="91">
        <f t="shared" si="4"/>
        <v>149.24047200000001</v>
      </c>
    </row>
    <row r="222" spans="2:19" ht="28.5" x14ac:dyDescent="0.2">
      <c r="B222" s="90"/>
      <c r="C222" s="64" t="s">
        <v>832</v>
      </c>
      <c r="D222" s="64" t="s">
        <v>61</v>
      </c>
      <c r="E222" s="62" t="s">
        <v>842</v>
      </c>
      <c r="F222" s="64" t="s">
        <v>58</v>
      </c>
      <c r="G222" s="66"/>
      <c r="H222" s="65"/>
      <c r="I222" s="66"/>
      <c r="J222" s="66"/>
      <c r="K222" s="107"/>
      <c r="L222" s="9"/>
      <c r="M222" s="81"/>
      <c r="N222" s="20"/>
      <c r="O222" s="80"/>
      <c r="Q222" s="90">
        <v>2</v>
      </c>
      <c r="R222" s="65">
        <f>16.29*(1-(8.52/100))</f>
        <v>14.902092</v>
      </c>
      <c r="S222" s="91">
        <f t="shared" si="4"/>
        <v>29.804183999999999</v>
      </c>
    </row>
    <row r="223" spans="2:19" ht="28.5" x14ac:dyDescent="0.2">
      <c r="B223" s="90"/>
      <c r="C223" s="64" t="s">
        <v>833</v>
      </c>
      <c r="D223" s="64" t="s">
        <v>61</v>
      </c>
      <c r="E223" s="62" t="s">
        <v>843</v>
      </c>
      <c r="F223" s="64" t="s">
        <v>58</v>
      </c>
      <c r="G223" s="66"/>
      <c r="H223" s="65"/>
      <c r="I223" s="66"/>
      <c r="J223" s="66"/>
      <c r="K223" s="107"/>
      <c r="L223" s="9"/>
      <c r="M223" s="81"/>
      <c r="N223" s="20"/>
      <c r="O223" s="80"/>
      <c r="Q223" s="90">
        <v>3</v>
      </c>
      <c r="R223" s="65">
        <f>82.5*(1-(8.52/100))</f>
        <v>75.471000000000004</v>
      </c>
      <c r="S223" s="91">
        <f t="shared" si="4"/>
        <v>226.41300000000001</v>
      </c>
    </row>
    <row r="224" spans="2:19" ht="28.5" x14ac:dyDescent="0.2">
      <c r="B224" s="90"/>
      <c r="C224" s="64" t="s">
        <v>834</v>
      </c>
      <c r="D224" s="64" t="s">
        <v>61</v>
      </c>
      <c r="E224" s="62" t="s">
        <v>844</v>
      </c>
      <c r="F224" s="64" t="s">
        <v>58</v>
      </c>
      <c r="G224" s="66"/>
      <c r="H224" s="65"/>
      <c r="I224" s="66"/>
      <c r="J224" s="66"/>
      <c r="K224" s="107"/>
      <c r="L224" s="9"/>
      <c r="M224" s="81"/>
      <c r="N224" s="20"/>
      <c r="O224" s="80"/>
      <c r="Q224" s="90">
        <v>1</v>
      </c>
      <c r="R224" s="65">
        <f>84.58*(1-(8.52/100))</f>
        <v>77.373784000000001</v>
      </c>
      <c r="S224" s="91">
        <f t="shared" si="4"/>
        <v>77.373784000000001</v>
      </c>
    </row>
    <row r="225" spans="2:19" ht="28.5" x14ac:dyDescent="0.2">
      <c r="B225" s="90"/>
      <c r="C225" s="64" t="s">
        <v>835</v>
      </c>
      <c r="D225" s="64" t="s">
        <v>61</v>
      </c>
      <c r="E225" s="62" t="s">
        <v>845</v>
      </c>
      <c r="F225" s="64" t="s">
        <v>58</v>
      </c>
      <c r="G225" s="66"/>
      <c r="H225" s="65"/>
      <c r="I225" s="66"/>
      <c r="J225" s="66"/>
      <c r="K225" s="107"/>
      <c r="L225" s="9"/>
      <c r="M225" s="81"/>
      <c r="N225" s="20"/>
      <c r="O225" s="80"/>
      <c r="Q225" s="90">
        <v>1</v>
      </c>
      <c r="R225" s="65">
        <f>233.25*(1-(8.52/100))</f>
        <v>213.37710000000001</v>
      </c>
      <c r="S225" s="91">
        <f t="shared" si="4"/>
        <v>213.37710000000001</v>
      </c>
    </row>
    <row r="226" spans="2:19" ht="57" x14ac:dyDescent="0.2">
      <c r="B226" s="103" t="s">
        <v>553</v>
      </c>
      <c r="C226" s="17" t="s">
        <v>554</v>
      </c>
      <c r="D226" s="16" t="s">
        <v>61</v>
      </c>
      <c r="E226" s="16" t="s">
        <v>555</v>
      </c>
      <c r="F226" s="18" t="s">
        <v>58</v>
      </c>
      <c r="G226" s="17">
        <v>15</v>
      </c>
      <c r="H226" s="19">
        <v>117.64</v>
      </c>
      <c r="I226" s="19">
        <v>143.79</v>
      </c>
      <c r="J226" s="19">
        <v>2156.85</v>
      </c>
      <c r="K226" s="104">
        <v>2.0486545895414599E-3</v>
      </c>
      <c r="M226" s="79"/>
      <c r="N226" s="1"/>
      <c r="O226" s="80"/>
      <c r="Q226" s="79">
        <v>1</v>
      </c>
      <c r="R226" s="2">
        <f>I226</f>
        <v>143.79</v>
      </c>
      <c r="S226" s="80">
        <f>R226*Q226</f>
        <v>143.79</v>
      </c>
    </row>
    <row r="227" spans="2:19" ht="39" hidden="1" customHeight="1" x14ac:dyDescent="0.2">
      <c r="B227" s="103" t="s">
        <v>556</v>
      </c>
      <c r="C227" s="17" t="s">
        <v>557</v>
      </c>
      <c r="D227" s="16" t="s">
        <v>61</v>
      </c>
      <c r="E227" s="16" t="s">
        <v>558</v>
      </c>
      <c r="F227" s="18" t="s">
        <v>58</v>
      </c>
      <c r="G227" s="17">
        <v>25</v>
      </c>
      <c r="H227" s="19">
        <v>156.18</v>
      </c>
      <c r="I227" s="19">
        <v>190.89</v>
      </c>
      <c r="J227" s="19">
        <v>4772.25</v>
      </c>
      <c r="K227" s="108">
        <v>4.532856649715665E-3</v>
      </c>
      <c r="M227" s="79"/>
      <c r="N227" s="1"/>
      <c r="O227" s="80"/>
      <c r="Q227" s="79"/>
      <c r="R227" s="1"/>
      <c r="S227" s="80"/>
    </row>
    <row r="228" spans="2:19" ht="42.75" x14ac:dyDescent="0.2">
      <c r="B228" s="103" t="s">
        <v>559</v>
      </c>
      <c r="C228" s="17" t="s">
        <v>560</v>
      </c>
      <c r="D228" s="16" t="s">
        <v>61</v>
      </c>
      <c r="E228" s="16" t="s">
        <v>561</v>
      </c>
      <c r="F228" s="18" t="s">
        <v>58</v>
      </c>
      <c r="G228" s="17">
        <v>14</v>
      </c>
      <c r="H228" s="19">
        <v>146.76</v>
      </c>
      <c r="I228" s="19">
        <v>179.38</v>
      </c>
      <c r="J228" s="19">
        <v>2511.3200000000002</v>
      </c>
      <c r="K228" s="108">
        <v>2.3853430900652615E-3</v>
      </c>
      <c r="M228" s="79"/>
      <c r="N228" s="1"/>
      <c r="O228" s="80"/>
      <c r="Q228" s="79">
        <v>3</v>
      </c>
      <c r="R228" s="2">
        <f>I228</f>
        <v>179.38</v>
      </c>
      <c r="S228" s="80">
        <f>Q228*R228</f>
        <v>538.14</v>
      </c>
    </row>
    <row r="229" spans="2:19" ht="28.5" hidden="1" x14ac:dyDescent="0.2">
      <c r="B229" s="103" t="s">
        <v>562</v>
      </c>
      <c r="C229" s="17" t="s">
        <v>563</v>
      </c>
      <c r="D229" s="16" t="s">
        <v>56</v>
      </c>
      <c r="E229" s="16" t="s">
        <v>564</v>
      </c>
      <c r="F229" s="18" t="s">
        <v>34</v>
      </c>
      <c r="G229" s="17">
        <v>1</v>
      </c>
      <c r="H229" s="19">
        <v>2877.17</v>
      </c>
      <c r="I229" s="19">
        <v>3516.76</v>
      </c>
      <c r="J229" s="19">
        <v>3516.76</v>
      </c>
      <c r="K229" s="104">
        <v>3.3403465768671093E-3</v>
      </c>
      <c r="M229" s="79"/>
      <c r="N229" s="1"/>
      <c r="O229" s="80"/>
      <c r="Q229" s="79"/>
      <c r="R229" s="1"/>
      <c r="S229" s="80"/>
    </row>
    <row r="230" spans="2:19" ht="57" x14ac:dyDescent="0.2">
      <c r="B230" s="103" t="s">
        <v>565</v>
      </c>
      <c r="C230" s="17" t="s">
        <v>566</v>
      </c>
      <c r="D230" s="16" t="s">
        <v>61</v>
      </c>
      <c r="E230" s="16" t="s">
        <v>567</v>
      </c>
      <c r="F230" s="18" t="s">
        <v>58</v>
      </c>
      <c r="G230" s="17">
        <v>2</v>
      </c>
      <c r="H230" s="19">
        <v>607.61</v>
      </c>
      <c r="I230" s="19">
        <v>742.68</v>
      </c>
      <c r="J230" s="19">
        <v>1485.36</v>
      </c>
      <c r="K230" s="108">
        <v>1.4108489608091906E-3</v>
      </c>
      <c r="M230" s="79">
        <v>2</v>
      </c>
      <c r="N230" s="2">
        <f>I230</f>
        <v>742.68</v>
      </c>
      <c r="O230" s="80">
        <f>M230*N230</f>
        <v>1485.36</v>
      </c>
      <c r="Q230" s="79"/>
      <c r="R230" s="1"/>
      <c r="S230" s="80"/>
    </row>
    <row r="231" spans="2:19" ht="78" hidden="1" customHeight="1" x14ac:dyDescent="0.2">
      <c r="B231" s="103" t="s">
        <v>568</v>
      </c>
      <c r="C231" s="17" t="s">
        <v>569</v>
      </c>
      <c r="D231" s="16" t="s">
        <v>23</v>
      </c>
      <c r="E231" s="16" t="s">
        <v>570</v>
      </c>
      <c r="F231" s="18" t="s">
        <v>34</v>
      </c>
      <c r="G231" s="17">
        <v>4</v>
      </c>
      <c r="H231" s="19">
        <v>1302.05</v>
      </c>
      <c r="I231" s="19">
        <v>1591.49</v>
      </c>
      <c r="J231" s="19">
        <v>6365.96</v>
      </c>
      <c r="K231" s="104">
        <v>6.046620381963211E-3</v>
      </c>
      <c r="M231" s="79"/>
      <c r="N231" s="1"/>
      <c r="O231" s="80"/>
      <c r="Q231" s="79"/>
      <c r="R231" s="1"/>
      <c r="S231" s="80"/>
    </row>
    <row r="232" spans="2:19" ht="24" hidden="1" customHeight="1" x14ac:dyDescent="0.2">
      <c r="B232" s="103" t="s">
        <v>571</v>
      </c>
      <c r="C232" s="17" t="s">
        <v>572</v>
      </c>
      <c r="D232" s="16" t="s">
        <v>23</v>
      </c>
      <c r="E232" s="16" t="s">
        <v>573</v>
      </c>
      <c r="F232" s="18" t="s">
        <v>34</v>
      </c>
      <c r="G232" s="17">
        <v>1</v>
      </c>
      <c r="H232" s="19">
        <v>248.43</v>
      </c>
      <c r="I232" s="19">
        <v>303.64999999999998</v>
      </c>
      <c r="J232" s="19">
        <v>303.64999999999998</v>
      </c>
      <c r="K232" s="104">
        <v>2.8841781584916163E-4</v>
      </c>
      <c r="M232" s="79"/>
      <c r="N232" s="1"/>
      <c r="O232" s="80"/>
      <c r="Q232" s="79"/>
      <c r="R232" s="1"/>
      <c r="S232" s="80"/>
    </row>
    <row r="233" spans="2:19" ht="28.5" x14ac:dyDescent="0.2">
      <c r="B233" s="103" t="s">
        <v>574</v>
      </c>
      <c r="C233" s="17" t="s">
        <v>575</v>
      </c>
      <c r="D233" s="16" t="s">
        <v>37</v>
      </c>
      <c r="E233" s="16" t="s">
        <v>576</v>
      </c>
      <c r="F233" s="18" t="s">
        <v>58</v>
      </c>
      <c r="G233" s="17">
        <v>8</v>
      </c>
      <c r="H233" s="19">
        <v>93.6</v>
      </c>
      <c r="I233" s="19">
        <v>114.4</v>
      </c>
      <c r="J233" s="19">
        <v>915.2</v>
      </c>
      <c r="K233" s="104">
        <v>8.6929025214935857E-4</v>
      </c>
      <c r="M233" s="79">
        <v>8</v>
      </c>
      <c r="N233" s="2">
        <f>I233</f>
        <v>114.4</v>
      </c>
      <c r="O233" s="80">
        <f>M233*N233</f>
        <v>915.2</v>
      </c>
      <c r="Q233" s="79"/>
      <c r="R233" s="1"/>
      <c r="S233" s="80"/>
    </row>
    <row r="234" spans="2:19" ht="24" hidden="1" customHeight="1" x14ac:dyDescent="0.2">
      <c r="B234" s="103" t="s">
        <v>577</v>
      </c>
      <c r="C234" s="17" t="s">
        <v>578</v>
      </c>
      <c r="D234" s="16" t="s">
        <v>23</v>
      </c>
      <c r="E234" s="16" t="s">
        <v>579</v>
      </c>
      <c r="F234" s="18" t="s">
        <v>34</v>
      </c>
      <c r="G234" s="17">
        <v>2</v>
      </c>
      <c r="H234" s="19">
        <v>274.26</v>
      </c>
      <c r="I234" s="19">
        <v>335.22</v>
      </c>
      <c r="J234" s="19">
        <v>670.44</v>
      </c>
      <c r="K234" s="104">
        <v>6.3680830053651223E-4</v>
      </c>
      <c r="M234" s="79"/>
      <c r="N234" s="1"/>
      <c r="O234" s="80"/>
      <c r="Q234" s="79"/>
      <c r="R234" s="1"/>
      <c r="S234" s="80"/>
    </row>
    <row r="235" spans="2:19" ht="39" hidden="1" customHeight="1" x14ac:dyDescent="0.2">
      <c r="B235" s="103" t="s">
        <v>580</v>
      </c>
      <c r="C235" s="17" t="s">
        <v>581</v>
      </c>
      <c r="D235" s="16" t="s">
        <v>23</v>
      </c>
      <c r="E235" s="16" t="s">
        <v>582</v>
      </c>
      <c r="F235" s="18" t="s">
        <v>583</v>
      </c>
      <c r="G235" s="17">
        <v>17</v>
      </c>
      <c r="H235" s="19">
        <v>203.6</v>
      </c>
      <c r="I235" s="19">
        <v>248.86</v>
      </c>
      <c r="J235" s="19">
        <v>4230.62</v>
      </c>
      <c r="K235" s="104">
        <v>4.0183967728891169E-3</v>
      </c>
      <c r="M235" s="79"/>
      <c r="N235" s="1"/>
      <c r="O235" s="80"/>
      <c r="Q235" s="79"/>
      <c r="R235" s="1"/>
      <c r="S235" s="80"/>
    </row>
    <row r="236" spans="2:19" ht="39" hidden="1" customHeight="1" x14ac:dyDescent="0.2">
      <c r="B236" s="103" t="s">
        <v>584</v>
      </c>
      <c r="C236" s="17" t="s">
        <v>585</v>
      </c>
      <c r="D236" s="16" t="s">
        <v>23</v>
      </c>
      <c r="E236" s="16" t="s">
        <v>586</v>
      </c>
      <c r="F236" s="18" t="s">
        <v>583</v>
      </c>
      <c r="G236" s="17">
        <v>12</v>
      </c>
      <c r="H236" s="19">
        <v>250.08</v>
      </c>
      <c r="I236" s="19">
        <v>305.67</v>
      </c>
      <c r="J236" s="19">
        <v>3668.04</v>
      </c>
      <c r="K236" s="104">
        <v>3.4840378239662734E-3</v>
      </c>
      <c r="M236" s="79"/>
      <c r="N236" s="1"/>
      <c r="O236" s="80"/>
      <c r="Q236" s="79"/>
      <c r="R236" s="1"/>
      <c r="S236" s="80"/>
    </row>
    <row r="237" spans="2:19" ht="39" hidden="1" customHeight="1" x14ac:dyDescent="0.2">
      <c r="B237" s="103" t="s">
        <v>587</v>
      </c>
      <c r="C237" s="17" t="s">
        <v>588</v>
      </c>
      <c r="D237" s="16" t="s">
        <v>23</v>
      </c>
      <c r="E237" s="16" t="s">
        <v>589</v>
      </c>
      <c r="F237" s="18" t="s">
        <v>34</v>
      </c>
      <c r="G237" s="17">
        <v>11</v>
      </c>
      <c r="H237" s="19">
        <v>44.6</v>
      </c>
      <c r="I237" s="19">
        <v>54.51</v>
      </c>
      <c r="J237" s="19">
        <v>599.61</v>
      </c>
      <c r="K237" s="104">
        <v>5.6953138995987425E-4</v>
      </c>
      <c r="M237" s="79"/>
      <c r="N237" s="1"/>
      <c r="O237" s="80"/>
      <c r="Q237" s="79"/>
      <c r="R237" s="1"/>
      <c r="S237" s="80"/>
    </row>
    <row r="238" spans="2:19" ht="26.1" hidden="1" customHeight="1" x14ac:dyDescent="0.2">
      <c r="B238" s="103" t="s">
        <v>590</v>
      </c>
      <c r="C238" s="17" t="s">
        <v>591</v>
      </c>
      <c r="D238" s="16" t="s">
        <v>23</v>
      </c>
      <c r="E238" s="16" t="s">
        <v>592</v>
      </c>
      <c r="F238" s="18" t="s">
        <v>58</v>
      </c>
      <c r="G238" s="17">
        <v>7</v>
      </c>
      <c r="H238" s="19">
        <v>145.71</v>
      </c>
      <c r="I238" s="19">
        <v>178.1</v>
      </c>
      <c r="J238" s="19">
        <v>1246.7</v>
      </c>
      <c r="K238" s="104">
        <v>1.1841610110955041E-3</v>
      </c>
      <c r="M238" s="79"/>
      <c r="N238" s="1"/>
      <c r="O238" s="80"/>
      <c r="Q238" s="79"/>
      <c r="R238" s="1"/>
      <c r="S238" s="80"/>
    </row>
    <row r="239" spans="2:19" ht="39" hidden="1" customHeight="1" x14ac:dyDescent="0.2">
      <c r="B239" s="103" t="s">
        <v>593</v>
      </c>
      <c r="C239" s="17" t="s">
        <v>594</v>
      </c>
      <c r="D239" s="16" t="s">
        <v>61</v>
      </c>
      <c r="E239" s="16" t="s">
        <v>595</v>
      </c>
      <c r="F239" s="18" t="s">
        <v>58</v>
      </c>
      <c r="G239" s="17">
        <v>14</v>
      </c>
      <c r="H239" s="19">
        <v>42.23</v>
      </c>
      <c r="I239" s="19">
        <v>51.61</v>
      </c>
      <c r="J239" s="19">
        <v>722.54</v>
      </c>
      <c r="K239" s="104">
        <v>6.8629477577359873E-4</v>
      </c>
      <c r="M239" s="79"/>
      <c r="N239" s="1"/>
      <c r="O239" s="80"/>
      <c r="Q239" s="79"/>
      <c r="R239" s="1"/>
      <c r="S239" s="80"/>
    </row>
    <row r="240" spans="2:19" ht="26.1" hidden="1" customHeight="1" x14ac:dyDescent="0.2">
      <c r="B240" s="103" t="s">
        <v>596</v>
      </c>
      <c r="C240" s="17" t="s">
        <v>597</v>
      </c>
      <c r="D240" s="16" t="s">
        <v>61</v>
      </c>
      <c r="E240" s="16" t="s">
        <v>598</v>
      </c>
      <c r="F240" s="18" t="s">
        <v>58</v>
      </c>
      <c r="G240" s="17">
        <v>14</v>
      </c>
      <c r="H240" s="19">
        <v>0.5</v>
      </c>
      <c r="I240" s="19">
        <v>0.61</v>
      </c>
      <c r="J240" s="19">
        <v>8.5399999999999991</v>
      </c>
      <c r="K240" s="105">
        <v>8.111602658823779E-6</v>
      </c>
      <c r="M240" s="79"/>
      <c r="N240" s="1"/>
      <c r="O240" s="80"/>
      <c r="Q240" s="79"/>
      <c r="R240" s="1"/>
      <c r="S240" s="80"/>
    </row>
    <row r="241" spans="2:19" ht="26.1" hidden="1" customHeight="1" x14ac:dyDescent="0.2">
      <c r="B241" s="103" t="s">
        <v>599</v>
      </c>
      <c r="C241" s="17" t="s">
        <v>600</v>
      </c>
      <c r="D241" s="16" t="s">
        <v>61</v>
      </c>
      <c r="E241" s="16" t="s">
        <v>601</v>
      </c>
      <c r="F241" s="18" t="s">
        <v>58</v>
      </c>
      <c r="G241" s="17">
        <v>3</v>
      </c>
      <c r="H241" s="19">
        <v>24.71</v>
      </c>
      <c r="I241" s="19">
        <v>30.2</v>
      </c>
      <c r="J241" s="19">
        <v>90.6</v>
      </c>
      <c r="K241" s="104">
        <v>8.6055175748177325E-5</v>
      </c>
      <c r="M241" s="79"/>
      <c r="N241" s="1"/>
      <c r="O241" s="80"/>
      <c r="Q241" s="79"/>
      <c r="R241" s="1"/>
      <c r="S241" s="80"/>
    </row>
    <row r="242" spans="2:19" ht="24" customHeight="1" x14ac:dyDescent="0.2">
      <c r="B242" s="101" t="s">
        <v>602</v>
      </c>
      <c r="C242" s="13"/>
      <c r="D242" s="13"/>
      <c r="E242" s="13" t="s">
        <v>603</v>
      </c>
      <c r="F242" s="13"/>
      <c r="G242" s="14"/>
      <c r="H242" s="13"/>
      <c r="I242" s="13"/>
      <c r="J242" s="15">
        <v>9963.6299999999992</v>
      </c>
      <c r="K242" s="102">
        <v>9.4638182200862259E-3</v>
      </c>
      <c r="M242" s="79"/>
      <c r="N242" s="1"/>
      <c r="O242" s="80"/>
      <c r="Q242" s="79"/>
      <c r="R242" s="1"/>
      <c r="S242" s="80"/>
    </row>
    <row r="243" spans="2:19" ht="28.5" x14ac:dyDescent="0.2">
      <c r="B243" s="103" t="s">
        <v>604</v>
      </c>
      <c r="C243" s="17" t="s">
        <v>605</v>
      </c>
      <c r="D243" s="16" t="s">
        <v>23</v>
      </c>
      <c r="E243" s="16" t="s">
        <v>606</v>
      </c>
      <c r="F243" s="18" t="s">
        <v>34</v>
      </c>
      <c r="G243" s="17">
        <v>1</v>
      </c>
      <c r="H243" s="19">
        <v>1167.3399999999999</v>
      </c>
      <c r="I243" s="19">
        <v>1426.83</v>
      </c>
      <c r="J243" s="19">
        <v>1426.83</v>
      </c>
      <c r="K243" s="104">
        <v>1.3552550376685635E-3</v>
      </c>
      <c r="M243" s="79"/>
      <c r="N243" s="1"/>
      <c r="O243" s="80"/>
      <c r="Q243" s="79">
        <v>1</v>
      </c>
      <c r="R243" s="22">
        <f>I243</f>
        <v>1426.83</v>
      </c>
      <c r="S243" s="80">
        <f>J243</f>
        <v>1426.83</v>
      </c>
    </row>
    <row r="244" spans="2:19" ht="51.95" customHeight="1" x14ac:dyDescent="0.2">
      <c r="B244" s="103" t="s">
        <v>607</v>
      </c>
      <c r="C244" s="17" t="s">
        <v>608</v>
      </c>
      <c r="D244" s="16" t="s">
        <v>23</v>
      </c>
      <c r="E244" s="16" t="s">
        <v>609</v>
      </c>
      <c r="F244" s="18" t="s">
        <v>34</v>
      </c>
      <c r="G244" s="17">
        <v>15</v>
      </c>
      <c r="H244" s="19">
        <v>465.62</v>
      </c>
      <c r="I244" s="19">
        <v>569.12</v>
      </c>
      <c r="J244" s="19">
        <v>8536.7999999999993</v>
      </c>
      <c r="K244" s="104">
        <v>8.1085631824176618E-3</v>
      </c>
      <c r="M244" s="81">
        <v>4</v>
      </c>
      <c r="N244" s="20">
        <f>I244</f>
        <v>569.12</v>
      </c>
      <c r="O244" s="80">
        <f>N244*M244</f>
        <v>2276.48</v>
      </c>
      <c r="Q244" s="79"/>
      <c r="R244" s="1"/>
      <c r="S244" s="80"/>
    </row>
    <row r="245" spans="2:19" ht="24" hidden="1" customHeight="1" x14ac:dyDescent="0.2">
      <c r="B245" s="112" t="s">
        <v>610</v>
      </c>
      <c r="C245" s="34"/>
      <c r="D245" s="34"/>
      <c r="E245" s="34" t="s">
        <v>611</v>
      </c>
      <c r="F245" s="34"/>
      <c r="G245" s="35"/>
      <c r="H245" s="34"/>
      <c r="I245" s="34"/>
      <c r="J245" s="36">
        <v>12688.31</v>
      </c>
      <c r="K245" s="102">
        <v>1.2051818399529315E-2</v>
      </c>
      <c r="M245" s="79"/>
      <c r="N245" s="1"/>
      <c r="O245" s="80"/>
      <c r="Q245" s="79"/>
      <c r="R245" s="1"/>
      <c r="S245" s="80"/>
    </row>
    <row r="246" spans="2:19" ht="26.1" hidden="1" customHeight="1" x14ac:dyDescent="0.2">
      <c r="B246" s="103" t="s">
        <v>612</v>
      </c>
      <c r="C246" s="17" t="s">
        <v>613</v>
      </c>
      <c r="D246" s="16" t="s">
        <v>23</v>
      </c>
      <c r="E246" s="16" t="s">
        <v>614</v>
      </c>
      <c r="F246" s="18" t="s">
        <v>34</v>
      </c>
      <c r="G246" s="17">
        <v>1</v>
      </c>
      <c r="H246" s="19">
        <v>10380.69</v>
      </c>
      <c r="I246" s="19">
        <v>12688.31</v>
      </c>
      <c r="J246" s="19">
        <v>12688.31</v>
      </c>
      <c r="K246" s="104">
        <v>1.2051818399529315E-2</v>
      </c>
      <c r="M246" s="79"/>
      <c r="N246" s="1"/>
      <c r="O246" s="80"/>
      <c r="Q246" s="79"/>
      <c r="R246" s="1"/>
      <c r="S246" s="80"/>
    </row>
    <row r="247" spans="2:19" ht="24" hidden="1" customHeight="1" x14ac:dyDescent="0.2">
      <c r="B247" s="113" t="s">
        <v>615</v>
      </c>
      <c r="C247" s="37"/>
      <c r="D247" s="37"/>
      <c r="E247" s="37" t="s">
        <v>616</v>
      </c>
      <c r="F247" s="37"/>
      <c r="G247" s="38"/>
      <c r="H247" s="37"/>
      <c r="I247" s="37"/>
      <c r="J247" s="39">
        <v>79887.37</v>
      </c>
      <c r="K247" s="102">
        <v>7.5879930081784425E-2</v>
      </c>
      <c r="M247" s="79"/>
      <c r="N247" s="1"/>
      <c r="O247" s="80"/>
      <c r="Q247" s="79"/>
      <c r="R247" s="1"/>
      <c r="S247" s="80"/>
    </row>
    <row r="248" spans="2:19" ht="24" hidden="1" customHeight="1" x14ac:dyDescent="0.2">
      <c r="B248" s="113" t="s">
        <v>617</v>
      </c>
      <c r="C248" s="37"/>
      <c r="D248" s="37"/>
      <c r="E248" s="37" t="s">
        <v>618</v>
      </c>
      <c r="F248" s="37"/>
      <c r="G248" s="38"/>
      <c r="H248" s="37"/>
      <c r="I248" s="37"/>
      <c r="J248" s="39">
        <v>14908.4</v>
      </c>
      <c r="K248" s="102">
        <v>1.4160540641546654E-2</v>
      </c>
      <c r="M248" s="79"/>
      <c r="N248" s="1"/>
      <c r="O248" s="80"/>
      <c r="Q248" s="79"/>
      <c r="R248" s="1"/>
      <c r="S248" s="80"/>
    </row>
    <row r="249" spans="2:19" ht="26.1" hidden="1" customHeight="1" x14ac:dyDescent="0.2">
      <c r="B249" s="103" t="s">
        <v>619</v>
      </c>
      <c r="C249" s="17" t="s">
        <v>620</v>
      </c>
      <c r="D249" s="16" t="s">
        <v>23</v>
      </c>
      <c r="E249" s="16" t="s">
        <v>621</v>
      </c>
      <c r="F249" s="18" t="s">
        <v>34</v>
      </c>
      <c r="G249" s="17">
        <v>1</v>
      </c>
      <c r="H249" s="19">
        <v>3012.33</v>
      </c>
      <c r="I249" s="19">
        <v>3503.94</v>
      </c>
      <c r="J249" s="19">
        <v>3503.94</v>
      </c>
      <c r="K249" s="104">
        <v>3.3281696745151045E-3</v>
      </c>
      <c r="M249" s="79"/>
      <c r="N249" s="1"/>
      <c r="O249" s="80"/>
      <c r="Q249" s="79"/>
      <c r="R249" s="1"/>
      <c r="S249" s="80"/>
    </row>
    <row r="250" spans="2:19" ht="26.1" hidden="1" customHeight="1" x14ac:dyDescent="0.2">
      <c r="B250" s="103" t="s">
        <v>622</v>
      </c>
      <c r="C250" s="17" t="s">
        <v>623</v>
      </c>
      <c r="D250" s="16" t="s">
        <v>23</v>
      </c>
      <c r="E250" s="16" t="s">
        <v>624</v>
      </c>
      <c r="F250" s="18" t="s">
        <v>34</v>
      </c>
      <c r="G250" s="17">
        <v>1</v>
      </c>
      <c r="H250" s="19">
        <v>2614.87</v>
      </c>
      <c r="I250" s="19">
        <v>3041.61</v>
      </c>
      <c r="J250" s="19">
        <v>3041.61</v>
      </c>
      <c r="K250" s="104">
        <v>2.8890318223776341E-3</v>
      </c>
      <c r="M250" s="79"/>
      <c r="N250" s="1"/>
      <c r="O250" s="80"/>
      <c r="Q250" s="79"/>
      <c r="R250" s="1"/>
      <c r="S250" s="80"/>
    </row>
    <row r="251" spans="2:19" ht="26.1" hidden="1" customHeight="1" x14ac:dyDescent="0.2">
      <c r="B251" s="103" t="s">
        <v>625</v>
      </c>
      <c r="C251" s="17" t="s">
        <v>626</v>
      </c>
      <c r="D251" s="16" t="s">
        <v>37</v>
      </c>
      <c r="E251" s="16" t="s">
        <v>627</v>
      </c>
      <c r="F251" s="18" t="s">
        <v>58</v>
      </c>
      <c r="G251" s="17">
        <v>2</v>
      </c>
      <c r="H251" s="19">
        <v>1099</v>
      </c>
      <c r="I251" s="19">
        <v>1278.3499999999999</v>
      </c>
      <c r="J251" s="19">
        <v>2556.6999999999998</v>
      </c>
      <c r="K251" s="105">
        <v>2.428446664849503E-3</v>
      </c>
      <c r="M251" s="79"/>
      <c r="N251" s="1"/>
      <c r="O251" s="80"/>
      <c r="Q251" s="79"/>
      <c r="R251" s="1"/>
      <c r="S251" s="80"/>
    </row>
    <row r="252" spans="2:19" ht="26.1" hidden="1" customHeight="1" x14ac:dyDescent="0.2">
      <c r="B252" s="103" t="s">
        <v>628</v>
      </c>
      <c r="C252" s="17" t="s">
        <v>629</v>
      </c>
      <c r="D252" s="16" t="s">
        <v>56</v>
      </c>
      <c r="E252" s="16" t="s">
        <v>630</v>
      </c>
      <c r="F252" s="18" t="s">
        <v>34</v>
      </c>
      <c r="G252" s="17">
        <v>1</v>
      </c>
      <c r="H252" s="19">
        <v>4991.54</v>
      </c>
      <c r="I252" s="19">
        <v>5806.15</v>
      </c>
      <c r="J252" s="19">
        <v>5806.15</v>
      </c>
      <c r="K252" s="104">
        <v>5.5148924798044128E-3</v>
      </c>
      <c r="M252" s="79"/>
      <c r="N252" s="1"/>
      <c r="O252" s="80"/>
      <c r="Q252" s="79"/>
      <c r="R252" s="1"/>
      <c r="S252" s="80"/>
    </row>
    <row r="253" spans="2:19" ht="24" customHeight="1" x14ac:dyDescent="0.2">
      <c r="B253" s="101" t="s">
        <v>631</v>
      </c>
      <c r="C253" s="13"/>
      <c r="D253" s="13"/>
      <c r="E253" s="13" t="s">
        <v>632</v>
      </c>
      <c r="F253" s="13"/>
      <c r="G253" s="14"/>
      <c r="H253" s="13"/>
      <c r="I253" s="13"/>
      <c r="J253" s="15">
        <v>30032.79</v>
      </c>
      <c r="K253" s="102">
        <v>2.8526236442142413E-2</v>
      </c>
      <c r="M253" s="79"/>
      <c r="N253" s="1"/>
      <c r="O253" s="80"/>
      <c r="Q253" s="79"/>
      <c r="R253" s="1"/>
      <c r="S253" s="80"/>
    </row>
    <row r="254" spans="2:19" ht="51.95" hidden="1" customHeight="1" x14ac:dyDescent="0.2">
      <c r="B254" s="103" t="s">
        <v>633</v>
      </c>
      <c r="C254" s="17" t="s">
        <v>634</v>
      </c>
      <c r="D254" s="16" t="s">
        <v>23</v>
      </c>
      <c r="E254" s="16" t="s">
        <v>635</v>
      </c>
      <c r="F254" s="18" t="s">
        <v>58</v>
      </c>
      <c r="G254" s="17">
        <v>1</v>
      </c>
      <c r="H254" s="19">
        <v>10541.3</v>
      </c>
      <c r="I254" s="19">
        <v>12261.64</v>
      </c>
      <c r="J254" s="19">
        <v>12261.64</v>
      </c>
      <c r="K254" s="104">
        <v>1.1646551712592506E-2</v>
      </c>
      <c r="M254" s="79"/>
      <c r="N254" s="1"/>
      <c r="O254" s="80"/>
      <c r="Q254" s="79"/>
      <c r="R254" s="1"/>
      <c r="S254" s="80"/>
    </row>
    <row r="255" spans="2:19" ht="26.1" hidden="1" customHeight="1" x14ac:dyDescent="0.2">
      <c r="B255" s="103" t="s">
        <v>636</v>
      </c>
      <c r="C255" s="17" t="s">
        <v>637</v>
      </c>
      <c r="D255" s="16" t="s">
        <v>23</v>
      </c>
      <c r="E255" s="16" t="s">
        <v>638</v>
      </c>
      <c r="F255" s="18" t="s">
        <v>34</v>
      </c>
      <c r="G255" s="17">
        <v>1</v>
      </c>
      <c r="H255" s="19">
        <v>11377.99</v>
      </c>
      <c r="I255" s="19">
        <v>13234.87</v>
      </c>
      <c r="J255" s="19">
        <v>13234.87</v>
      </c>
      <c r="K255" s="104">
        <v>1.2570960969694036E-2</v>
      </c>
      <c r="M255" s="79"/>
      <c r="N255" s="1"/>
      <c r="O255" s="80"/>
      <c r="Q255" s="79"/>
      <c r="R255" s="1"/>
      <c r="S255" s="80"/>
    </row>
    <row r="256" spans="2:19" ht="39" customHeight="1" x14ac:dyDescent="0.2">
      <c r="B256" s="103" t="s">
        <v>639</v>
      </c>
      <c r="C256" s="17" t="s">
        <v>640</v>
      </c>
      <c r="D256" s="16" t="s">
        <v>61</v>
      </c>
      <c r="E256" s="16" t="s">
        <v>641</v>
      </c>
      <c r="F256" s="18" t="s">
        <v>101</v>
      </c>
      <c r="G256" s="17">
        <v>119</v>
      </c>
      <c r="H256" s="19">
        <v>32.78</v>
      </c>
      <c r="I256" s="19">
        <v>38.119999999999997</v>
      </c>
      <c r="J256" s="19">
        <v>4536.28</v>
      </c>
      <c r="K256" s="105">
        <v>4.3087237598558705E-3</v>
      </c>
      <c r="M256" s="79">
        <f>G256-(18+45+45)</f>
        <v>11</v>
      </c>
      <c r="N256" s="2">
        <f>I256</f>
        <v>38.119999999999997</v>
      </c>
      <c r="O256" s="80">
        <f>N256*M256</f>
        <v>419.32</v>
      </c>
      <c r="Q256" s="79"/>
      <c r="R256" s="1"/>
      <c r="S256" s="80"/>
    </row>
    <row r="257" spans="2:22" ht="24" hidden="1" customHeight="1" x14ac:dyDescent="0.2">
      <c r="B257" s="113" t="s">
        <v>642</v>
      </c>
      <c r="C257" s="37"/>
      <c r="D257" s="37"/>
      <c r="E257" s="37" t="s">
        <v>643</v>
      </c>
      <c r="F257" s="37"/>
      <c r="G257" s="38"/>
      <c r="H257" s="37"/>
      <c r="I257" s="37"/>
      <c r="J257" s="39">
        <v>21118.59</v>
      </c>
      <c r="K257" s="102">
        <v>2.0059205011078367E-2</v>
      </c>
      <c r="M257" s="79"/>
      <c r="N257" s="1"/>
      <c r="O257" s="80"/>
      <c r="Q257" s="79"/>
      <c r="R257" s="1"/>
      <c r="S257" s="80"/>
    </row>
    <row r="258" spans="2:22" ht="26.1" hidden="1" customHeight="1" x14ac:dyDescent="0.2">
      <c r="B258" s="103" t="s">
        <v>644</v>
      </c>
      <c r="C258" s="17" t="s">
        <v>645</v>
      </c>
      <c r="D258" s="16" t="s">
        <v>23</v>
      </c>
      <c r="E258" s="16" t="s">
        <v>646</v>
      </c>
      <c r="F258" s="18" t="s">
        <v>34</v>
      </c>
      <c r="G258" s="17">
        <v>1</v>
      </c>
      <c r="H258" s="19">
        <v>18155.599999999999</v>
      </c>
      <c r="I258" s="19">
        <v>21118.59</v>
      </c>
      <c r="J258" s="19">
        <v>21118.59</v>
      </c>
      <c r="K258" s="104">
        <v>2.0059205011078367E-2</v>
      </c>
      <c r="M258" s="79"/>
      <c r="N258" s="1"/>
      <c r="O258" s="80"/>
      <c r="Q258" s="79"/>
      <c r="R258" s="1"/>
      <c r="S258" s="80"/>
    </row>
    <row r="259" spans="2:22" ht="24" customHeight="1" x14ac:dyDescent="0.2">
      <c r="B259" s="101" t="s">
        <v>647</v>
      </c>
      <c r="C259" s="13"/>
      <c r="D259" s="13"/>
      <c r="E259" s="13" t="s">
        <v>648</v>
      </c>
      <c r="F259" s="13"/>
      <c r="G259" s="14"/>
      <c r="H259" s="13"/>
      <c r="I259" s="13"/>
      <c r="J259" s="15">
        <v>13827.59</v>
      </c>
      <c r="K259" s="102">
        <v>1.3133947987016991E-2</v>
      </c>
      <c r="M259" s="79"/>
      <c r="N259" s="1"/>
      <c r="O259" s="80"/>
      <c r="Q259" s="79"/>
      <c r="R259" s="1"/>
      <c r="S259" s="80"/>
      <c r="V259" s="43"/>
    </row>
    <row r="260" spans="2:22" ht="42.75" x14ac:dyDescent="0.2">
      <c r="B260" s="103" t="s">
        <v>649</v>
      </c>
      <c r="C260" s="17" t="s">
        <v>650</v>
      </c>
      <c r="D260" s="16" t="s">
        <v>61</v>
      </c>
      <c r="E260" s="16" t="s">
        <v>651</v>
      </c>
      <c r="F260" s="18" t="s">
        <v>58</v>
      </c>
      <c r="G260" s="17">
        <v>3</v>
      </c>
      <c r="H260" s="19">
        <v>1892.16</v>
      </c>
      <c r="I260" s="19">
        <v>2200.96</v>
      </c>
      <c r="J260" s="19">
        <v>6602.88</v>
      </c>
      <c r="K260" s="105">
        <v>6.2716556163810722E-3</v>
      </c>
      <c r="M260" s="79">
        <f>G260</f>
        <v>3</v>
      </c>
      <c r="N260" s="2">
        <f>I260</f>
        <v>2200.96</v>
      </c>
      <c r="O260" s="80">
        <f>N260*M260</f>
        <v>6602.88</v>
      </c>
      <c r="Q260" s="79"/>
      <c r="R260" s="1"/>
      <c r="S260" s="80"/>
    </row>
    <row r="261" spans="2:22" ht="42.75" x14ac:dyDescent="0.2">
      <c r="B261" s="103" t="s">
        <v>652</v>
      </c>
      <c r="C261" s="17" t="s">
        <v>653</v>
      </c>
      <c r="D261" s="16" t="s">
        <v>61</v>
      </c>
      <c r="E261" s="16" t="s">
        <v>654</v>
      </c>
      <c r="F261" s="18" t="s">
        <v>58</v>
      </c>
      <c r="G261" s="17">
        <v>1</v>
      </c>
      <c r="H261" s="19">
        <v>1620.96</v>
      </c>
      <c r="I261" s="19">
        <v>1885.5</v>
      </c>
      <c r="J261" s="19">
        <v>1885.5</v>
      </c>
      <c r="K261" s="105">
        <v>1.790916488666538E-3</v>
      </c>
      <c r="M261" s="79">
        <f t="shared" ref="M261:M262" si="5">G261</f>
        <v>1</v>
      </c>
      <c r="N261" s="2">
        <f t="shared" ref="N261:N264" si="6">I261</f>
        <v>1885.5</v>
      </c>
      <c r="O261" s="80">
        <f t="shared" ref="O261:O264" si="7">N261*M261</f>
        <v>1885.5</v>
      </c>
      <c r="Q261" s="79"/>
      <c r="R261" s="1"/>
      <c r="S261" s="80"/>
    </row>
    <row r="262" spans="2:22" ht="42.75" x14ac:dyDescent="0.2">
      <c r="B262" s="103" t="s">
        <v>655</v>
      </c>
      <c r="C262" s="17" t="s">
        <v>656</v>
      </c>
      <c r="D262" s="16" t="s">
        <v>61</v>
      </c>
      <c r="E262" s="16" t="s">
        <v>657</v>
      </c>
      <c r="F262" s="18" t="s">
        <v>58</v>
      </c>
      <c r="G262" s="17">
        <v>1</v>
      </c>
      <c r="H262" s="19">
        <v>2722.57</v>
      </c>
      <c r="I262" s="19">
        <v>3166.89</v>
      </c>
      <c r="J262" s="19">
        <v>3166.89</v>
      </c>
      <c r="K262" s="105">
        <v>3.0080273236771002E-3</v>
      </c>
      <c r="M262" s="79">
        <f t="shared" si="5"/>
        <v>1</v>
      </c>
      <c r="N262" s="2">
        <f t="shared" si="6"/>
        <v>3166.89</v>
      </c>
      <c r="O262" s="80">
        <f t="shared" si="7"/>
        <v>3166.89</v>
      </c>
      <c r="Q262" s="79"/>
      <c r="R262" s="1"/>
      <c r="S262" s="80"/>
    </row>
    <row r="263" spans="2:22" ht="28.5" x14ac:dyDescent="0.2">
      <c r="B263" s="103" t="s">
        <v>658</v>
      </c>
      <c r="C263" s="17" t="s">
        <v>659</v>
      </c>
      <c r="D263" s="16" t="s">
        <v>23</v>
      </c>
      <c r="E263" s="16" t="s">
        <v>660</v>
      </c>
      <c r="F263" s="18" t="s">
        <v>34</v>
      </c>
      <c r="G263" s="17">
        <v>4</v>
      </c>
      <c r="H263" s="19">
        <v>361.46</v>
      </c>
      <c r="I263" s="19">
        <v>441.81</v>
      </c>
      <c r="J263" s="19">
        <v>1767.24</v>
      </c>
      <c r="K263" s="104">
        <v>1.6785888387329901E-3</v>
      </c>
      <c r="M263" s="79">
        <v>4</v>
      </c>
      <c r="N263" s="2">
        <f t="shared" si="6"/>
        <v>441.81</v>
      </c>
      <c r="O263" s="80">
        <f t="shared" si="7"/>
        <v>1767.24</v>
      </c>
      <c r="Q263" s="79"/>
      <c r="R263" s="1"/>
      <c r="S263" s="80"/>
    </row>
    <row r="264" spans="2:22" ht="28.5" x14ac:dyDescent="0.2">
      <c r="B264" s="103" t="s">
        <v>661</v>
      </c>
      <c r="C264" s="17" t="s">
        <v>662</v>
      </c>
      <c r="D264" s="16" t="s">
        <v>23</v>
      </c>
      <c r="E264" s="16" t="s">
        <v>663</v>
      </c>
      <c r="F264" s="18" t="s">
        <v>58</v>
      </c>
      <c r="G264" s="17">
        <v>1</v>
      </c>
      <c r="H264" s="19">
        <v>331.41</v>
      </c>
      <c r="I264" s="19">
        <v>405.08</v>
      </c>
      <c r="J264" s="19">
        <v>405.08</v>
      </c>
      <c r="K264" s="104">
        <v>3.8475971955928995E-4</v>
      </c>
      <c r="M264" s="79">
        <v>1</v>
      </c>
      <c r="N264" s="2">
        <f t="shared" si="6"/>
        <v>405.08</v>
      </c>
      <c r="O264" s="80">
        <f t="shared" si="7"/>
        <v>405.08</v>
      </c>
      <c r="Q264" s="79"/>
      <c r="R264" s="1"/>
      <c r="S264" s="80"/>
    </row>
    <row r="265" spans="2:22" ht="24" hidden="1" customHeight="1" x14ac:dyDescent="0.2">
      <c r="B265" s="101" t="s">
        <v>664</v>
      </c>
      <c r="C265" s="13"/>
      <c r="D265" s="13"/>
      <c r="E265" s="13" t="s">
        <v>665</v>
      </c>
      <c r="F265" s="13"/>
      <c r="G265" s="14"/>
      <c r="H265" s="13"/>
      <c r="I265" s="13"/>
      <c r="J265" s="15">
        <v>2052.83</v>
      </c>
      <c r="K265" s="102">
        <v>1.9498526096151309E-3</v>
      </c>
      <c r="M265" s="79"/>
      <c r="N265" s="1"/>
      <c r="O265" s="80"/>
      <c r="Q265" s="79"/>
      <c r="R265" s="1"/>
      <c r="S265" s="80"/>
    </row>
    <row r="266" spans="2:22" ht="24" hidden="1" customHeight="1" x14ac:dyDescent="0.2">
      <c r="B266" s="101" t="s">
        <v>666</v>
      </c>
      <c r="C266" s="13"/>
      <c r="D266" s="13"/>
      <c r="E266" s="13" t="s">
        <v>667</v>
      </c>
      <c r="F266" s="13"/>
      <c r="G266" s="14"/>
      <c r="H266" s="13"/>
      <c r="I266" s="13"/>
      <c r="J266" s="15">
        <v>2052.83</v>
      </c>
      <c r="K266" s="102">
        <v>1.9498526096151309E-3</v>
      </c>
      <c r="M266" s="79"/>
      <c r="N266" s="1"/>
      <c r="O266" s="80"/>
      <c r="Q266" s="79"/>
      <c r="R266" s="1"/>
      <c r="S266" s="80"/>
    </row>
    <row r="267" spans="2:22" ht="51.95" hidden="1" customHeight="1" x14ac:dyDescent="0.2">
      <c r="B267" s="110" t="s">
        <v>668</v>
      </c>
      <c r="C267" s="26" t="s">
        <v>669</v>
      </c>
      <c r="D267" s="25" t="s">
        <v>56</v>
      </c>
      <c r="E267" s="25" t="s">
        <v>670</v>
      </c>
      <c r="F267" s="27" t="s">
        <v>583</v>
      </c>
      <c r="G267" s="26">
        <v>7</v>
      </c>
      <c r="H267" s="28">
        <v>41.76</v>
      </c>
      <c r="I267" s="28">
        <v>51.04</v>
      </c>
      <c r="J267" s="28">
        <v>357.28</v>
      </c>
      <c r="K267" s="104">
        <v>3.393575407429227E-4</v>
      </c>
      <c r="M267" s="79"/>
      <c r="N267" s="1"/>
      <c r="O267" s="80"/>
      <c r="Q267" s="79"/>
      <c r="R267" s="1"/>
      <c r="S267" s="80"/>
    </row>
    <row r="268" spans="2:22" ht="26.1" hidden="1" customHeight="1" x14ac:dyDescent="0.2">
      <c r="B268" s="110" t="s">
        <v>671</v>
      </c>
      <c r="C268" s="26" t="s">
        <v>672</v>
      </c>
      <c r="D268" s="25" t="s">
        <v>56</v>
      </c>
      <c r="E268" s="25" t="s">
        <v>673</v>
      </c>
      <c r="F268" s="27" t="s">
        <v>424</v>
      </c>
      <c r="G268" s="26">
        <v>12</v>
      </c>
      <c r="H268" s="28">
        <v>0.46</v>
      </c>
      <c r="I268" s="28">
        <v>0.56000000000000005</v>
      </c>
      <c r="J268" s="28">
        <v>6.72</v>
      </c>
      <c r="K268" s="105">
        <v>6.3829004528449406E-6</v>
      </c>
      <c r="M268" s="79"/>
      <c r="N268" s="1"/>
      <c r="O268" s="80"/>
      <c r="Q268" s="79"/>
      <c r="R268" s="1"/>
      <c r="S268" s="80"/>
    </row>
    <row r="269" spans="2:22" ht="26.1" hidden="1" customHeight="1" x14ac:dyDescent="0.2">
      <c r="B269" s="110" t="s">
        <v>674</v>
      </c>
      <c r="C269" s="26" t="s">
        <v>675</v>
      </c>
      <c r="D269" s="25" t="s">
        <v>61</v>
      </c>
      <c r="E269" s="25" t="s">
        <v>676</v>
      </c>
      <c r="F269" s="27" t="s">
        <v>58</v>
      </c>
      <c r="G269" s="26">
        <v>1</v>
      </c>
      <c r="H269" s="28">
        <v>181.12</v>
      </c>
      <c r="I269" s="28">
        <v>210.67</v>
      </c>
      <c r="J269" s="28">
        <v>210.67</v>
      </c>
      <c r="K269" s="105">
        <v>2.0010202952393507E-4</v>
      </c>
      <c r="M269" s="79"/>
      <c r="N269" s="1"/>
      <c r="O269" s="80"/>
      <c r="Q269" s="79"/>
      <c r="R269" s="1"/>
      <c r="S269" s="80"/>
    </row>
    <row r="270" spans="2:22" ht="26.1" hidden="1" customHeight="1" x14ac:dyDescent="0.2">
      <c r="B270" s="110" t="s">
        <v>677</v>
      </c>
      <c r="C270" s="26" t="s">
        <v>678</v>
      </c>
      <c r="D270" s="25" t="s">
        <v>61</v>
      </c>
      <c r="E270" s="25" t="s">
        <v>679</v>
      </c>
      <c r="F270" s="27" t="s">
        <v>58</v>
      </c>
      <c r="G270" s="26">
        <v>1</v>
      </c>
      <c r="H270" s="28">
        <v>621</v>
      </c>
      <c r="I270" s="28">
        <v>722.34</v>
      </c>
      <c r="J270" s="28">
        <v>722.34</v>
      </c>
      <c r="K270" s="105">
        <v>6.861048084982165E-4</v>
      </c>
      <c r="M270" s="79"/>
      <c r="N270" s="1"/>
      <c r="O270" s="80"/>
      <c r="Q270" s="79"/>
      <c r="R270" s="1"/>
      <c r="S270" s="80"/>
    </row>
    <row r="271" spans="2:22" ht="24" hidden="1" customHeight="1" x14ac:dyDescent="0.2">
      <c r="B271" s="110" t="s">
        <v>680</v>
      </c>
      <c r="C271" s="26" t="s">
        <v>681</v>
      </c>
      <c r="D271" s="25" t="s">
        <v>23</v>
      </c>
      <c r="E271" s="25" t="s">
        <v>682</v>
      </c>
      <c r="F271" s="27" t="s">
        <v>34</v>
      </c>
      <c r="G271" s="26">
        <v>2</v>
      </c>
      <c r="H271" s="28">
        <v>9.09</v>
      </c>
      <c r="I271" s="28">
        <v>11.11</v>
      </c>
      <c r="J271" s="28">
        <v>22.22</v>
      </c>
      <c r="K271" s="104">
        <v>2.1105364294972408E-5</v>
      </c>
      <c r="M271" s="79"/>
      <c r="N271" s="1"/>
      <c r="O271" s="80"/>
      <c r="Q271" s="79"/>
      <c r="R271" s="1"/>
      <c r="S271" s="80"/>
    </row>
    <row r="272" spans="2:22" ht="26.1" hidden="1" customHeight="1" x14ac:dyDescent="0.2">
      <c r="B272" s="110" t="s">
        <v>683</v>
      </c>
      <c r="C272" s="26" t="s">
        <v>684</v>
      </c>
      <c r="D272" s="25" t="s">
        <v>37</v>
      </c>
      <c r="E272" s="25" t="s">
        <v>685</v>
      </c>
      <c r="F272" s="27" t="s">
        <v>58</v>
      </c>
      <c r="G272" s="26">
        <v>2</v>
      </c>
      <c r="H272" s="28">
        <v>258.69</v>
      </c>
      <c r="I272" s="28">
        <v>300.89999999999998</v>
      </c>
      <c r="J272" s="28">
        <v>601.79999999999995</v>
      </c>
      <c r="K272" s="104">
        <v>5.7161153162531037E-4</v>
      </c>
      <c r="M272" s="79"/>
      <c r="N272" s="1"/>
      <c r="O272" s="80"/>
      <c r="Q272" s="79"/>
      <c r="R272" s="1"/>
      <c r="S272" s="80"/>
    </row>
    <row r="273" spans="2:19" ht="39" hidden="1" customHeight="1" x14ac:dyDescent="0.2">
      <c r="B273" s="110" t="s">
        <v>686</v>
      </c>
      <c r="C273" s="26" t="s">
        <v>687</v>
      </c>
      <c r="D273" s="25" t="s">
        <v>61</v>
      </c>
      <c r="E273" s="25" t="s">
        <v>688</v>
      </c>
      <c r="F273" s="27" t="s">
        <v>58</v>
      </c>
      <c r="G273" s="26">
        <v>5</v>
      </c>
      <c r="H273" s="28">
        <v>22.67</v>
      </c>
      <c r="I273" s="28">
        <v>26.36</v>
      </c>
      <c r="J273" s="28">
        <v>131.80000000000001</v>
      </c>
      <c r="K273" s="104">
        <v>1.2518843447692905E-4</v>
      </c>
      <c r="M273" s="79"/>
      <c r="N273" s="1"/>
      <c r="O273" s="80"/>
      <c r="Q273" s="79"/>
      <c r="R273" s="1"/>
      <c r="S273" s="80"/>
    </row>
    <row r="274" spans="2:19" ht="24" customHeight="1" x14ac:dyDescent="0.2">
      <c r="B274" s="101" t="s">
        <v>689</v>
      </c>
      <c r="C274" s="13"/>
      <c r="D274" s="13"/>
      <c r="E274" s="13" t="s">
        <v>690</v>
      </c>
      <c r="F274" s="13"/>
      <c r="G274" s="14"/>
      <c r="H274" s="13"/>
      <c r="I274" s="13"/>
      <c r="J274" s="15">
        <v>82140.600000000006</v>
      </c>
      <c r="K274" s="102">
        <v>7.8020129901332613E-2</v>
      </c>
      <c r="M274" s="79"/>
      <c r="N274" s="1"/>
      <c r="O274" s="80"/>
      <c r="Q274" s="79"/>
      <c r="R274" s="1"/>
      <c r="S274" s="80"/>
    </row>
    <row r="275" spans="2:19" ht="24" customHeight="1" x14ac:dyDescent="0.2">
      <c r="B275" s="101" t="s">
        <v>691</v>
      </c>
      <c r="C275" s="13"/>
      <c r="D275" s="13"/>
      <c r="E275" s="13" t="s">
        <v>692</v>
      </c>
      <c r="F275" s="13"/>
      <c r="G275" s="14"/>
      <c r="H275" s="13"/>
      <c r="I275" s="13"/>
      <c r="J275" s="15">
        <v>23636.83</v>
      </c>
      <c r="K275" s="102">
        <v>2.2451120968871859E-2</v>
      </c>
      <c r="M275" s="79"/>
      <c r="N275" s="1"/>
      <c r="O275" s="80"/>
      <c r="Q275" s="79"/>
      <c r="R275" s="1"/>
      <c r="S275" s="80"/>
    </row>
    <row r="276" spans="2:19" ht="65.099999999999994" hidden="1" customHeight="1" x14ac:dyDescent="0.2">
      <c r="B276" s="103" t="s">
        <v>693</v>
      </c>
      <c r="C276" s="17" t="s">
        <v>694</v>
      </c>
      <c r="D276" s="16" t="s">
        <v>61</v>
      </c>
      <c r="E276" s="16" t="s">
        <v>695</v>
      </c>
      <c r="F276" s="18" t="s">
        <v>63</v>
      </c>
      <c r="G276" s="17">
        <v>83.68</v>
      </c>
      <c r="H276" s="19">
        <v>36.44</v>
      </c>
      <c r="I276" s="19">
        <v>44.54</v>
      </c>
      <c r="J276" s="19">
        <v>3727.1</v>
      </c>
      <c r="K276" s="108">
        <v>3.5401351603866634E-3</v>
      </c>
      <c r="M276" s="79"/>
      <c r="N276" s="1"/>
      <c r="O276" s="80"/>
      <c r="Q276" s="79"/>
      <c r="R276" s="1"/>
      <c r="S276" s="80"/>
    </row>
    <row r="277" spans="2:19" ht="39" hidden="1" customHeight="1" x14ac:dyDescent="0.2">
      <c r="B277" s="103" t="s">
        <v>696</v>
      </c>
      <c r="C277" s="17" t="s">
        <v>697</v>
      </c>
      <c r="D277" s="16" t="s">
        <v>61</v>
      </c>
      <c r="E277" s="16" t="s">
        <v>698</v>
      </c>
      <c r="F277" s="18" t="s">
        <v>63</v>
      </c>
      <c r="G277" s="17">
        <v>17.03</v>
      </c>
      <c r="H277" s="19">
        <v>176.03</v>
      </c>
      <c r="I277" s="19">
        <v>215.16</v>
      </c>
      <c r="J277" s="19">
        <v>3664.17</v>
      </c>
      <c r="K277" s="104">
        <v>3.480361957187626E-3</v>
      </c>
      <c r="M277" s="79"/>
      <c r="N277" s="1"/>
      <c r="O277" s="80"/>
      <c r="Q277" s="79"/>
      <c r="R277" s="1"/>
      <c r="S277" s="80"/>
    </row>
    <row r="278" spans="2:19" ht="39" hidden="1" customHeight="1" x14ac:dyDescent="0.2">
      <c r="B278" s="103" t="s">
        <v>699</v>
      </c>
      <c r="C278" s="17" t="s">
        <v>700</v>
      </c>
      <c r="D278" s="16" t="s">
        <v>61</v>
      </c>
      <c r="E278" s="16" t="s">
        <v>701</v>
      </c>
      <c r="F278" s="18" t="s">
        <v>63</v>
      </c>
      <c r="G278" s="17">
        <v>65.27</v>
      </c>
      <c r="H278" s="19">
        <v>151.09</v>
      </c>
      <c r="I278" s="19">
        <v>184.67</v>
      </c>
      <c r="J278" s="19">
        <v>12053.41</v>
      </c>
      <c r="K278" s="104">
        <v>1.1448767283828236E-2</v>
      </c>
      <c r="M278" s="79"/>
      <c r="N278" s="2"/>
      <c r="O278" s="80"/>
      <c r="Q278" s="79"/>
      <c r="R278" s="1"/>
      <c r="S278" s="80"/>
    </row>
    <row r="279" spans="2:19" ht="39" hidden="1" customHeight="1" x14ac:dyDescent="0.2">
      <c r="B279" s="103" t="s">
        <v>702</v>
      </c>
      <c r="C279" s="17" t="s">
        <v>703</v>
      </c>
      <c r="D279" s="16" t="s">
        <v>61</v>
      </c>
      <c r="E279" s="16" t="s">
        <v>704</v>
      </c>
      <c r="F279" s="18" t="s">
        <v>63</v>
      </c>
      <c r="G279" s="17">
        <v>5.64</v>
      </c>
      <c r="H279" s="19">
        <v>160.32</v>
      </c>
      <c r="I279" s="19">
        <v>195.95</v>
      </c>
      <c r="J279" s="19">
        <v>1105.1500000000001</v>
      </c>
      <c r="K279" s="104">
        <v>1.0497116719436885E-3</v>
      </c>
      <c r="M279" s="79"/>
      <c r="N279" s="1"/>
      <c r="O279" s="80"/>
      <c r="Q279" s="79"/>
      <c r="R279" s="1"/>
      <c r="S279" s="80"/>
    </row>
    <row r="280" spans="2:19" ht="28.5" x14ac:dyDescent="0.2">
      <c r="B280" s="103" t="s">
        <v>705</v>
      </c>
      <c r="C280" s="17" t="s">
        <v>706</v>
      </c>
      <c r="D280" s="16" t="s">
        <v>61</v>
      </c>
      <c r="E280" s="16" t="s">
        <v>707</v>
      </c>
      <c r="F280" s="18" t="s">
        <v>101</v>
      </c>
      <c r="G280" s="17">
        <v>140</v>
      </c>
      <c r="H280" s="19">
        <v>18.04</v>
      </c>
      <c r="I280" s="19">
        <v>22.05</v>
      </c>
      <c r="J280" s="19">
        <v>3087</v>
      </c>
      <c r="K280" s="108">
        <v>2.9321448955256448E-3</v>
      </c>
      <c r="M280" s="79">
        <f>G280-65.9</f>
        <v>74.099999999999994</v>
      </c>
      <c r="N280" s="2">
        <f>I280</f>
        <v>22.05</v>
      </c>
      <c r="O280" s="80">
        <f>N280*M280</f>
        <v>1633.905</v>
      </c>
      <c r="Q280" s="79"/>
      <c r="R280" s="1"/>
      <c r="S280" s="80"/>
    </row>
    <row r="281" spans="2:19" ht="24" customHeight="1" x14ac:dyDescent="0.2">
      <c r="B281" s="101" t="s">
        <v>708</v>
      </c>
      <c r="C281" s="13"/>
      <c r="D281" s="13"/>
      <c r="E281" s="13" t="s">
        <v>709</v>
      </c>
      <c r="F281" s="13"/>
      <c r="G281" s="14"/>
      <c r="H281" s="13"/>
      <c r="I281" s="13"/>
      <c r="J281" s="15">
        <v>58503.77</v>
      </c>
      <c r="K281" s="102">
        <v>5.5569008932460758E-2</v>
      </c>
      <c r="M281" s="79"/>
      <c r="N281" s="1"/>
      <c r="O281" s="80"/>
      <c r="Q281" s="79"/>
      <c r="R281" s="1"/>
      <c r="S281" s="80"/>
    </row>
    <row r="282" spans="2:19" ht="28.5" hidden="1" x14ac:dyDescent="0.2">
      <c r="B282" s="103" t="s">
        <v>710</v>
      </c>
      <c r="C282" s="17" t="s">
        <v>711</v>
      </c>
      <c r="D282" s="16" t="s">
        <v>61</v>
      </c>
      <c r="E282" s="16" t="s">
        <v>712</v>
      </c>
      <c r="F282" s="18" t="s">
        <v>58</v>
      </c>
      <c r="G282" s="17">
        <v>81</v>
      </c>
      <c r="H282" s="19">
        <v>14.88</v>
      </c>
      <c r="I282" s="19">
        <v>18.18</v>
      </c>
      <c r="J282" s="19">
        <v>1472.58</v>
      </c>
      <c r="K282" s="105">
        <v>1.3987100519122623E-3</v>
      </c>
      <c r="M282" s="79"/>
      <c r="N282" s="2"/>
      <c r="O282" s="80"/>
      <c r="Q282" s="79"/>
      <c r="R282" s="1"/>
      <c r="S282" s="80"/>
    </row>
    <row r="283" spans="2:19" ht="57" x14ac:dyDescent="0.2">
      <c r="B283" s="103" t="s">
        <v>713</v>
      </c>
      <c r="C283" s="17" t="s">
        <v>714</v>
      </c>
      <c r="D283" s="16" t="s">
        <v>61</v>
      </c>
      <c r="E283" s="16" t="s">
        <v>715</v>
      </c>
      <c r="F283" s="18" t="s">
        <v>101</v>
      </c>
      <c r="G283" s="72">
        <v>82.15</v>
      </c>
      <c r="H283" s="73">
        <v>51.85</v>
      </c>
      <c r="I283" s="73">
        <v>63.37</v>
      </c>
      <c r="J283" s="73">
        <v>5205.84</v>
      </c>
      <c r="K283" s="104">
        <v>4.9446962043807009E-3</v>
      </c>
      <c r="M283" s="79">
        <f>G283</f>
        <v>82.15</v>
      </c>
      <c r="N283" s="2">
        <f>I283</f>
        <v>63.37</v>
      </c>
      <c r="O283" s="80">
        <f>J283</f>
        <v>5205.84</v>
      </c>
      <c r="Q283" s="79"/>
      <c r="R283" s="1"/>
      <c r="S283" s="80"/>
    </row>
    <row r="284" spans="2:19" ht="42.75" x14ac:dyDescent="0.2">
      <c r="B284" s="103" t="s">
        <v>716</v>
      </c>
      <c r="C284" s="17" t="s">
        <v>717</v>
      </c>
      <c r="D284" s="16" t="s">
        <v>61</v>
      </c>
      <c r="E284" s="16" t="s">
        <v>718</v>
      </c>
      <c r="F284" s="18" t="s">
        <v>63</v>
      </c>
      <c r="G284" s="17">
        <v>278</v>
      </c>
      <c r="H284" s="19">
        <v>72.86</v>
      </c>
      <c r="I284" s="19">
        <v>89.05</v>
      </c>
      <c r="J284" s="19">
        <v>24755.9</v>
      </c>
      <c r="K284" s="108">
        <v>2.3514054363182154E-2</v>
      </c>
      <c r="M284" s="79"/>
      <c r="N284" s="1"/>
      <c r="O284" s="80"/>
      <c r="Q284" s="79">
        <f>318.17-G284</f>
        <v>40.170000000000016</v>
      </c>
      <c r="R284" s="2">
        <f>I284</f>
        <v>89.05</v>
      </c>
      <c r="S284" s="80">
        <f>Q284*R284</f>
        <v>3577.1385000000014</v>
      </c>
    </row>
    <row r="285" spans="2:19" ht="51.95" hidden="1" customHeight="1" x14ac:dyDescent="0.2">
      <c r="B285" s="103" t="s">
        <v>719</v>
      </c>
      <c r="C285" s="17" t="s">
        <v>720</v>
      </c>
      <c r="D285" s="16" t="s">
        <v>61</v>
      </c>
      <c r="E285" s="16" t="s">
        <v>721</v>
      </c>
      <c r="F285" s="18" t="s">
        <v>63</v>
      </c>
      <c r="G285" s="17">
        <v>161.82</v>
      </c>
      <c r="H285" s="19">
        <v>134.91</v>
      </c>
      <c r="I285" s="19">
        <v>164.9</v>
      </c>
      <c r="J285" s="19">
        <v>26684.11</v>
      </c>
      <c r="K285" s="104">
        <v>2.534553836350658E-2</v>
      </c>
      <c r="M285" s="79"/>
      <c r="N285" s="1"/>
      <c r="O285" s="80"/>
      <c r="Q285" s="79"/>
      <c r="R285" s="1"/>
      <c r="S285" s="80"/>
    </row>
    <row r="286" spans="2:19" ht="39" hidden="1" customHeight="1" x14ac:dyDescent="0.2">
      <c r="B286" s="103" t="s">
        <v>722</v>
      </c>
      <c r="C286" s="17" t="s">
        <v>723</v>
      </c>
      <c r="D286" s="16" t="s">
        <v>56</v>
      </c>
      <c r="E286" s="16" t="s">
        <v>724</v>
      </c>
      <c r="F286" s="18" t="s">
        <v>34</v>
      </c>
      <c r="G286" s="17">
        <v>1</v>
      </c>
      <c r="H286" s="19">
        <v>315.26</v>
      </c>
      <c r="I286" s="19">
        <v>385.34</v>
      </c>
      <c r="J286" s="19">
        <v>385.34</v>
      </c>
      <c r="K286" s="104">
        <v>3.6600994947905797E-4</v>
      </c>
      <c r="M286" s="79"/>
      <c r="N286" s="1"/>
      <c r="O286" s="80"/>
      <c r="Q286" s="79"/>
      <c r="R286" s="1"/>
      <c r="S286" s="80"/>
    </row>
    <row r="287" spans="2:19" ht="39" customHeight="1" x14ac:dyDescent="0.2">
      <c r="B287" s="90"/>
      <c r="C287" s="64" t="s">
        <v>848</v>
      </c>
      <c r="D287" s="64" t="s">
        <v>56</v>
      </c>
      <c r="E287" s="62" t="s">
        <v>853</v>
      </c>
      <c r="F287" s="64" t="s">
        <v>819</v>
      </c>
      <c r="G287" s="66"/>
      <c r="H287" s="65"/>
      <c r="I287" s="66"/>
      <c r="J287" s="66"/>
      <c r="K287" s="107"/>
      <c r="L287" s="9"/>
      <c r="M287" s="81"/>
      <c r="N287" s="20"/>
      <c r="O287" s="80"/>
      <c r="Q287" s="90">
        <v>5.8</v>
      </c>
      <c r="R287" s="65">
        <f>401.65*(1-(8.52/100))</f>
        <v>367.42941999999999</v>
      </c>
      <c r="S287" s="91">
        <f>Q287*R287</f>
        <v>2131.0906359999999</v>
      </c>
    </row>
    <row r="288" spans="2:19" ht="42.75" x14ac:dyDescent="0.2">
      <c r="B288" s="90"/>
      <c r="C288" s="64" t="s">
        <v>849</v>
      </c>
      <c r="D288" s="64" t="s">
        <v>61</v>
      </c>
      <c r="E288" s="62" t="s">
        <v>854</v>
      </c>
      <c r="F288" s="64" t="s">
        <v>101</v>
      </c>
      <c r="G288" s="66"/>
      <c r="H288" s="65"/>
      <c r="I288" s="66"/>
      <c r="J288" s="66"/>
      <c r="K288" s="107"/>
      <c r="L288" s="9"/>
      <c r="M288" s="81"/>
      <c r="N288" s="20"/>
      <c r="O288" s="80"/>
      <c r="Q288" s="90">
        <v>18</v>
      </c>
      <c r="R288" s="65">
        <f>53.05*(1-(8.52/100))</f>
        <v>48.530140000000003</v>
      </c>
      <c r="S288" s="91">
        <f t="shared" ref="S288:S291" si="8">Q288*R288</f>
        <v>873.54252000000008</v>
      </c>
    </row>
    <row r="289" spans="2:19" ht="42.75" x14ac:dyDescent="0.2">
      <c r="B289" s="90"/>
      <c r="C289" s="64" t="s">
        <v>850</v>
      </c>
      <c r="D289" s="64" t="s">
        <v>61</v>
      </c>
      <c r="E289" s="62" t="s">
        <v>855</v>
      </c>
      <c r="F289" s="64" t="s">
        <v>101</v>
      </c>
      <c r="G289" s="66"/>
      <c r="H289" s="65"/>
      <c r="I289" s="66"/>
      <c r="J289" s="66"/>
      <c r="K289" s="107"/>
      <c r="L289" s="9"/>
      <c r="M289" s="81"/>
      <c r="N289" s="20"/>
      <c r="O289" s="80"/>
      <c r="Q289" s="90">
        <v>165.79</v>
      </c>
      <c r="R289" s="65">
        <f>42.06*(1-(8.52/100))</f>
        <v>38.476488000000003</v>
      </c>
      <c r="S289" s="91">
        <f t="shared" si="8"/>
        <v>6379.0169455200003</v>
      </c>
    </row>
    <row r="290" spans="2:19" ht="39" customHeight="1" x14ac:dyDescent="0.2">
      <c r="B290" s="90"/>
      <c r="C290" s="64" t="s">
        <v>851</v>
      </c>
      <c r="D290" s="64" t="s">
        <v>61</v>
      </c>
      <c r="E290" s="62" t="s">
        <v>856</v>
      </c>
      <c r="F290" s="64" t="s">
        <v>858</v>
      </c>
      <c r="G290" s="66"/>
      <c r="H290" s="65"/>
      <c r="I290" s="66"/>
      <c r="J290" s="66"/>
      <c r="K290" s="107"/>
      <c r="L290" s="9"/>
      <c r="M290" s="81"/>
      <c r="N290" s="20"/>
      <c r="O290" s="80"/>
      <c r="Q290" s="90">
        <v>162.74</v>
      </c>
      <c r="R290" s="65">
        <f>12.63*(1-(8.52/100))</f>
        <v>11.553924000000002</v>
      </c>
      <c r="S290" s="91">
        <f t="shared" si="8"/>
        <v>1880.2855917600004</v>
      </c>
    </row>
    <row r="291" spans="2:19" ht="42.75" x14ac:dyDescent="0.2">
      <c r="B291" s="90"/>
      <c r="C291" s="64" t="s">
        <v>852</v>
      </c>
      <c r="D291" s="64" t="s">
        <v>61</v>
      </c>
      <c r="E291" s="62" t="s">
        <v>857</v>
      </c>
      <c r="F291" s="64" t="s">
        <v>858</v>
      </c>
      <c r="G291" s="66"/>
      <c r="H291" s="65"/>
      <c r="I291" s="66"/>
      <c r="J291" s="66"/>
      <c r="K291" s="107"/>
      <c r="L291" s="9"/>
      <c r="M291" s="81"/>
      <c r="N291" s="20"/>
      <c r="O291" s="80"/>
      <c r="Q291" s="90">
        <v>20.7</v>
      </c>
      <c r="R291" s="65">
        <f>30.69*(1-(8.52/100))</f>
        <v>28.075212000000004</v>
      </c>
      <c r="S291" s="91">
        <f t="shared" si="8"/>
        <v>581.15688840000007</v>
      </c>
    </row>
    <row r="292" spans="2:19" ht="24" customHeight="1" x14ac:dyDescent="0.2">
      <c r="B292" s="101" t="s">
        <v>725</v>
      </c>
      <c r="C292" s="13"/>
      <c r="D292" s="13"/>
      <c r="E292" s="13" t="s">
        <v>726</v>
      </c>
      <c r="F292" s="13"/>
      <c r="G292" s="14"/>
      <c r="H292" s="13"/>
      <c r="I292" s="13"/>
      <c r="J292" s="15">
        <v>19597.5</v>
      </c>
      <c r="K292" s="102">
        <v>1.8614418396522132E-2</v>
      </c>
      <c r="M292" s="79"/>
      <c r="N292" s="1"/>
      <c r="O292" s="80"/>
      <c r="Q292" s="79"/>
      <c r="R292" s="1"/>
      <c r="S292" s="80"/>
    </row>
    <row r="293" spans="2:19" ht="65.099999999999994" customHeight="1" x14ac:dyDescent="0.2">
      <c r="B293" s="103" t="s">
        <v>727</v>
      </c>
      <c r="C293" s="17" t="s">
        <v>728</v>
      </c>
      <c r="D293" s="16" t="s">
        <v>56</v>
      </c>
      <c r="E293" s="16" t="s">
        <v>729</v>
      </c>
      <c r="F293" s="18" t="s">
        <v>63</v>
      </c>
      <c r="G293" s="17">
        <v>47.5</v>
      </c>
      <c r="H293" s="19">
        <v>18.14</v>
      </c>
      <c r="I293" s="19">
        <v>22.17</v>
      </c>
      <c r="J293" s="19">
        <v>1053.07</v>
      </c>
      <c r="K293" s="108">
        <v>1.0002441934341402E-3</v>
      </c>
      <c r="M293" s="79">
        <f>G293-(((18-1.5)*1.5)+(3*0.5)+(1.2*0.5))</f>
        <v>20.65</v>
      </c>
      <c r="N293" s="2">
        <f>I293</f>
        <v>22.17</v>
      </c>
      <c r="O293" s="80">
        <f>N293*M293</f>
        <v>457.81049999999999</v>
      </c>
      <c r="Q293" s="79"/>
      <c r="R293" s="1"/>
      <c r="S293" s="80"/>
    </row>
    <row r="294" spans="2:19" ht="39" hidden="1" customHeight="1" x14ac:dyDescent="0.2">
      <c r="B294" s="103" t="s">
        <v>730</v>
      </c>
      <c r="C294" s="17" t="s">
        <v>731</v>
      </c>
      <c r="D294" s="16" t="s">
        <v>56</v>
      </c>
      <c r="E294" s="16" t="s">
        <v>732</v>
      </c>
      <c r="F294" s="18" t="s">
        <v>63</v>
      </c>
      <c r="G294" s="17">
        <v>75.709999999999994</v>
      </c>
      <c r="H294" s="19">
        <v>9.93</v>
      </c>
      <c r="I294" s="19">
        <v>12.13</v>
      </c>
      <c r="J294" s="19">
        <v>918.36</v>
      </c>
      <c r="K294" s="104">
        <v>8.7229173510039882E-4</v>
      </c>
      <c r="M294" s="79"/>
      <c r="N294" s="1"/>
      <c r="O294" s="80"/>
      <c r="Q294" s="79"/>
      <c r="R294" s="1"/>
      <c r="S294" s="80"/>
    </row>
    <row r="295" spans="2:19" ht="39" hidden="1" customHeight="1" x14ac:dyDescent="0.2">
      <c r="B295" s="103" t="s">
        <v>733</v>
      </c>
      <c r="C295" s="17" t="s">
        <v>734</v>
      </c>
      <c r="D295" s="16" t="s">
        <v>61</v>
      </c>
      <c r="E295" s="16" t="s">
        <v>735</v>
      </c>
      <c r="F295" s="18" t="s">
        <v>63</v>
      </c>
      <c r="G295" s="17">
        <v>3.78</v>
      </c>
      <c r="H295" s="19">
        <v>4.03</v>
      </c>
      <c r="I295" s="19">
        <v>4.92</v>
      </c>
      <c r="J295" s="19">
        <v>18.59</v>
      </c>
      <c r="K295" s="104">
        <v>1.7657458246783845E-5</v>
      </c>
      <c r="M295" s="79"/>
      <c r="N295" s="1"/>
      <c r="O295" s="80"/>
      <c r="Q295" s="79"/>
      <c r="R295" s="1"/>
      <c r="S295" s="80"/>
    </row>
    <row r="296" spans="2:19" ht="26.1" hidden="1" customHeight="1" x14ac:dyDescent="0.2">
      <c r="B296" s="103" t="s">
        <v>736</v>
      </c>
      <c r="C296" s="17" t="s">
        <v>737</v>
      </c>
      <c r="D296" s="16" t="s">
        <v>61</v>
      </c>
      <c r="E296" s="16" t="s">
        <v>738</v>
      </c>
      <c r="F296" s="18" t="s">
        <v>63</v>
      </c>
      <c r="G296" s="17">
        <v>3.78</v>
      </c>
      <c r="H296" s="19">
        <v>15.02</v>
      </c>
      <c r="I296" s="19">
        <v>18.350000000000001</v>
      </c>
      <c r="J296" s="19">
        <v>69.36</v>
      </c>
      <c r="K296" s="104">
        <v>6.5880651102578143E-5</v>
      </c>
      <c r="M296" s="79"/>
      <c r="N296" s="1"/>
      <c r="O296" s="80"/>
      <c r="Q296" s="79"/>
      <c r="R296" s="1"/>
      <c r="S296" s="80"/>
    </row>
    <row r="297" spans="2:19" ht="28.5" x14ac:dyDescent="0.2">
      <c r="B297" s="103" t="s">
        <v>739</v>
      </c>
      <c r="C297" s="17" t="s">
        <v>740</v>
      </c>
      <c r="D297" s="16" t="s">
        <v>61</v>
      </c>
      <c r="E297" s="16" t="s">
        <v>741</v>
      </c>
      <c r="F297" s="18" t="s">
        <v>63</v>
      </c>
      <c r="G297" s="44">
        <v>756.28</v>
      </c>
      <c r="H297" s="19">
        <v>6.53</v>
      </c>
      <c r="I297" s="19">
        <v>7.98</v>
      </c>
      <c r="J297" s="19">
        <v>6035.11</v>
      </c>
      <c r="K297" s="108">
        <v>5.7323670166620584E-3</v>
      </c>
      <c r="M297" s="79"/>
      <c r="N297" s="2"/>
      <c r="O297" s="80"/>
      <c r="Q297" s="79">
        <f>858.66-G297</f>
        <v>102.38</v>
      </c>
      <c r="R297" s="2">
        <f>I297</f>
        <v>7.98</v>
      </c>
      <c r="S297" s="80">
        <f>Q297*R297</f>
        <v>816.99239999999998</v>
      </c>
    </row>
    <row r="298" spans="2:19" ht="28.5" x14ac:dyDescent="0.2">
      <c r="B298" s="103" t="s">
        <v>742</v>
      </c>
      <c r="C298" s="17" t="s">
        <v>743</v>
      </c>
      <c r="D298" s="16" t="s">
        <v>61</v>
      </c>
      <c r="E298" s="16" t="s">
        <v>744</v>
      </c>
      <c r="F298" s="18" t="s">
        <v>63</v>
      </c>
      <c r="G298" s="44">
        <v>756.28</v>
      </c>
      <c r="H298" s="19">
        <v>1.67</v>
      </c>
      <c r="I298" s="19">
        <v>2.04</v>
      </c>
      <c r="J298" s="19">
        <v>1542.81</v>
      </c>
      <c r="K298" s="108">
        <v>1.4654170606627534E-3</v>
      </c>
      <c r="M298" s="79"/>
      <c r="N298" s="2"/>
      <c r="O298" s="80"/>
      <c r="Q298" s="79">
        <f t="shared" ref="Q298:Q299" si="9">858.66-G298</f>
        <v>102.38</v>
      </c>
      <c r="R298" s="2">
        <f t="shared" ref="R298:R299" si="10">I298</f>
        <v>2.04</v>
      </c>
      <c r="S298" s="80">
        <f t="shared" ref="S298:S299" si="11">Q298*R298</f>
        <v>208.8552</v>
      </c>
    </row>
    <row r="299" spans="2:19" ht="28.5" x14ac:dyDescent="0.2">
      <c r="B299" s="103" t="s">
        <v>745</v>
      </c>
      <c r="C299" s="17" t="s">
        <v>746</v>
      </c>
      <c r="D299" s="16" t="s">
        <v>61</v>
      </c>
      <c r="E299" s="16" t="s">
        <v>747</v>
      </c>
      <c r="F299" s="18" t="s">
        <v>63</v>
      </c>
      <c r="G299" s="44">
        <v>756.28</v>
      </c>
      <c r="H299" s="19">
        <v>10.78</v>
      </c>
      <c r="I299" s="19">
        <v>13.17</v>
      </c>
      <c r="J299" s="19">
        <v>9960.2000000000007</v>
      </c>
      <c r="K299" s="108">
        <v>9.4605602813134203E-3</v>
      </c>
      <c r="M299" s="79"/>
      <c r="N299" s="2"/>
      <c r="O299" s="80"/>
      <c r="Q299" s="79">
        <f t="shared" si="9"/>
        <v>102.38</v>
      </c>
      <c r="R299" s="2">
        <f t="shared" si="10"/>
        <v>13.17</v>
      </c>
      <c r="S299" s="80">
        <f t="shared" si="11"/>
        <v>1348.3445999999999</v>
      </c>
    </row>
    <row r="300" spans="2:19" ht="24" customHeight="1" x14ac:dyDescent="0.2">
      <c r="B300" s="101" t="s">
        <v>748</v>
      </c>
      <c r="C300" s="13"/>
      <c r="D300" s="13"/>
      <c r="E300" s="13" t="s">
        <v>749</v>
      </c>
      <c r="F300" s="13"/>
      <c r="G300" s="14"/>
      <c r="H300" s="13"/>
      <c r="I300" s="13"/>
      <c r="J300" s="15">
        <v>29543.43</v>
      </c>
      <c r="K300" s="102">
        <v>2.8061424512737024E-2</v>
      </c>
      <c r="M300" s="79"/>
      <c r="N300" s="1"/>
      <c r="O300" s="80"/>
      <c r="Q300" s="79"/>
      <c r="R300" s="1"/>
      <c r="S300" s="80"/>
    </row>
    <row r="301" spans="2:19" ht="28.5" x14ac:dyDescent="0.2">
      <c r="B301" s="103" t="s">
        <v>750</v>
      </c>
      <c r="C301" s="17" t="s">
        <v>751</v>
      </c>
      <c r="D301" s="16" t="s">
        <v>37</v>
      </c>
      <c r="E301" s="16" t="s">
        <v>752</v>
      </c>
      <c r="F301" s="18" t="s">
        <v>58</v>
      </c>
      <c r="G301" s="17">
        <v>4</v>
      </c>
      <c r="H301" s="19">
        <v>1368.16</v>
      </c>
      <c r="I301" s="19">
        <v>1672.3</v>
      </c>
      <c r="J301" s="19">
        <v>6689.2</v>
      </c>
      <c r="K301" s="104">
        <v>6.3536454924360683E-3</v>
      </c>
      <c r="M301" s="81">
        <v>4</v>
      </c>
      <c r="N301" s="20">
        <f>I301</f>
        <v>1672.3</v>
      </c>
      <c r="O301" s="80">
        <f>M301*N301</f>
        <v>6689.2</v>
      </c>
      <c r="Q301" s="79"/>
      <c r="R301" s="1"/>
      <c r="S301" s="80"/>
    </row>
    <row r="302" spans="2:19" s="10" customFormat="1" ht="24" hidden="1" customHeight="1" x14ac:dyDescent="0.2">
      <c r="B302" s="103" t="s">
        <v>753</v>
      </c>
      <c r="C302" s="17" t="s">
        <v>754</v>
      </c>
      <c r="D302" s="16" t="s">
        <v>37</v>
      </c>
      <c r="E302" s="16" t="s">
        <v>755</v>
      </c>
      <c r="F302" s="18" t="s">
        <v>58</v>
      </c>
      <c r="G302" s="17">
        <v>2</v>
      </c>
      <c r="H302" s="19">
        <v>4033.97</v>
      </c>
      <c r="I302" s="19">
        <v>4930.72</v>
      </c>
      <c r="J302" s="19">
        <v>9861.44</v>
      </c>
      <c r="K302" s="108">
        <v>9.3667544407296452E-3</v>
      </c>
      <c r="M302" s="81"/>
      <c r="N302" s="20"/>
      <c r="O302" s="80"/>
      <c r="P302" s="9"/>
      <c r="Q302" s="79"/>
      <c r="R302" s="1"/>
      <c r="S302" s="80"/>
    </row>
    <row r="303" spans="2:19" ht="65.099999999999994" hidden="1" customHeight="1" x14ac:dyDescent="0.2">
      <c r="B303" s="103" t="s">
        <v>756</v>
      </c>
      <c r="C303" s="17" t="s">
        <v>165</v>
      </c>
      <c r="D303" s="16" t="s">
        <v>61</v>
      </c>
      <c r="E303" s="16" t="s">
        <v>166</v>
      </c>
      <c r="F303" s="18" t="s">
        <v>101</v>
      </c>
      <c r="G303" s="17">
        <v>79.03</v>
      </c>
      <c r="H303" s="19">
        <v>67.05</v>
      </c>
      <c r="I303" s="19">
        <v>81.95</v>
      </c>
      <c r="J303" s="19">
        <v>6476.5</v>
      </c>
      <c r="K303" s="104">
        <v>6.151615295067003E-3</v>
      </c>
      <c r="M303" s="79"/>
      <c r="N303" s="1"/>
      <c r="O303" s="80"/>
      <c r="Q303" s="79"/>
      <c r="R303" s="1"/>
      <c r="S303" s="80"/>
    </row>
    <row r="304" spans="2:19" ht="28.5" x14ac:dyDescent="0.2">
      <c r="B304" s="103" t="s">
        <v>757</v>
      </c>
      <c r="C304" s="17" t="s">
        <v>758</v>
      </c>
      <c r="D304" s="16" t="s">
        <v>56</v>
      </c>
      <c r="E304" s="16" t="s">
        <v>759</v>
      </c>
      <c r="F304" s="18" t="s">
        <v>424</v>
      </c>
      <c r="G304" s="17">
        <v>15</v>
      </c>
      <c r="H304" s="19">
        <v>110</v>
      </c>
      <c r="I304" s="19">
        <v>134.44999999999999</v>
      </c>
      <c r="J304" s="19">
        <v>2016.75</v>
      </c>
      <c r="K304" s="104">
        <v>1.9155825131361658E-3</v>
      </c>
      <c r="M304" s="81">
        <f>G304-11.6</f>
        <v>3.4000000000000004</v>
      </c>
      <c r="N304" s="20">
        <f>I304</f>
        <v>134.44999999999999</v>
      </c>
      <c r="O304" s="80">
        <f>M304*N304</f>
        <v>457.13</v>
      </c>
      <c r="Q304" s="79"/>
      <c r="R304" s="1"/>
      <c r="S304" s="80"/>
    </row>
    <row r="305" spans="2:19" ht="42.75" hidden="1" x14ac:dyDescent="0.2">
      <c r="B305" s="103" t="s">
        <v>760</v>
      </c>
      <c r="C305" s="17" t="s">
        <v>761</v>
      </c>
      <c r="D305" s="16" t="s">
        <v>61</v>
      </c>
      <c r="E305" s="16" t="s">
        <v>762</v>
      </c>
      <c r="F305" s="18" t="s">
        <v>58</v>
      </c>
      <c r="G305" s="17">
        <v>4</v>
      </c>
      <c r="H305" s="19">
        <v>371.98</v>
      </c>
      <c r="I305" s="19">
        <v>454.67</v>
      </c>
      <c r="J305" s="19">
        <v>1818.68</v>
      </c>
      <c r="K305" s="104">
        <v>1.727448421961315E-3</v>
      </c>
      <c r="M305" s="81"/>
      <c r="N305" s="20"/>
      <c r="O305" s="80"/>
      <c r="Q305" s="79"/>
      <c r="R305" s="2"/>
      <c r="S305" s="80"/>
    </row>
    <row r="306" spans="2:19" ht="57" x14ac:dyDescent="0.2">
      <c r="B306" s="103" t="s">
        <v>763</v>
      </c>
      <c r="C306" s="17" t="s">
        <v>764</v>
      </c>
      <c r="D306" s="16" t="s">
        <v>61</v>
      </c>
      <c r="E306" s="16" t="s">
        <v>765</v>
      </c>
      <c r="F306" s="18" t="s">
        <v>58</v>
      </c>
      <c r="G306" s="17">
        <v>1</v>
      </c>
      <c r="H306" s="19">
        <v>983.48</v>
      </c>
      <c r="I306" s="19">
        <v>1202.0999999999999</v>
      </c>
      <c r="J306" s="19">
        <v>1202.0999999999999</v>
      </c>
      <c r="K306" s="104">
        <v>1.1417983086852534E-3</v>
      </c>
      <c r="M306" s="81"/>
      <c r="N306" s="20"/>
      <c r="O306" s="80"/>
      <c r="Q306" s="79">
        <v>1</v>
      </c>
      <c r="R306" s="2">
        <f>I306</f>
        <v>1202.0999999999999</v>
      </c>
      <c r="S306" s="80">
        <f>R306*Q306</f>
        <v>1202.0999999999999</v>
      </c>
    </row>
    <row r="307" spans="2:19" ht="42.75" x14ac:dyDescent="0.2">
      <c r="B307" s="103" t="s">
        <v>766</v>
      </c>
      <c r="C307" s="17" t="s">
        <v>767</v>
      </c>
      <c r="D307" s="16" t="s">
        <v>768</v>
      </c>
      <c r="E307" s="16" t="s">
        <v>769</v>
      </c>
      <c r="F307" s="18" t="s">
        <v>63</v>
      </c>
      <c r="G307" s="17">
        <v>8.75</v>
      </c>
      <c r="H307" s="19">
        <v>29.15</v>
      </c>
      <c r="I307" s="19">
        <v>35.630000000000003</v>
      </c>
      <c r="J307" s="19">
        <v>311.76</v>
      </c>
      <c r="K307" s="104">
        <v>2.961209888659135E-4</v>
      </c>
      <c r="M307" s="79"/>
      <c r="N307" s="1"/>
      <c r="O307" s="80"/>
      <c r="Q307" s="79">
        <f>(1.75*4)*1.25</f>
        <v>8.75</v>
      </c>
      <c r="R307" s="2">
        <f>I307</f>
        <v>35.630000000000003</v>
      </c>
      <c r="S307" s="80">
        <f>Q307*R307</f>
        <v>311.76250000000005</v>
      </c>
    </row>
    <row r="308" spans="2:19" ht="42.75" x14ac:dyDescent="0.2">
      <c r="B308" s="103" t="s">
        <v>770</v>
      </c>
      <c r="C308" s="17" t="s">
        <v>771</v>
      </c>
      <c r="D308" s="16" t="s">
        <v>61</v>
      </c>
      <c r="E308" s="16" t="s">
        <v>772</v>
      </c>
      <c r="F308" s="18" t="s">
        <v>101</v>
      </c>
      <c r="G308" s="17">
        <v>30</v>
      </c>
      <c r="H308" s="19">
        <v>31.83</v>
      </c>
      <c r="I308" s="19">
        <v>38.9</v>
      </c>
      <c r="J308" s="19">
        <v>1167</v>
      </c>
      <c r="K308" s="104">
        <v>1.1084590518556617E-3</v>
      </c>
      <c r="M308" s="81">
        <f>G308</f>
        <v>30</v>
      </c>
      <c r="N308" s="20">
        <f>I308</f>
        <v>38.9</v>
      </c>
      <c r="O308" s="80">
        <f>M308*N308</f>
        <v>1167</v>
      </c>
      <c r="Q308" s="79"/>
      <c r="R308" s="1"/>
      <c r="S308" s="80"/>
    </row>
    <row r="309" spans="2:19" ht="24" customHeight="1" x14ac:dyDescent="0.2">
      <c r="B309" s="101" t="s">
        <v>773</v>
      </c>
      <c r="C309" s="13"/>
      <c r="D309" s="13"/>
      <c r="E309" s="13" t="s">
        <v>774</v>
      </c>
      <c r="F309" s="13"/>
      <c r="G309" s="14"/>
      <c r="H309" s="13"/>
      <c r="I309" s="13"/>
      <c r="J309" s="15">
        <v>27522.240000000002</v>
      </c>
      <c r="K309" s="102">
        <v>2.6141624726087373E-2</v>
      </c>
      <c r="M309" s="79"/>
      <c r="N309" s="1"/>
      <c r="O309" s="80"/>
      <c r="Q309" s="79"/>
      <c r="R309" s="1"/>
      <c r="S309" s="80"/>
    </row>
    <row r="310" spans="2:19" ht="24" hidden="1" customHeight="1" x14ac:dyDescent="0.2">
      <c r="B310" s="103" t="s">
        <v>775</v>
      </c>
      <c r="C310" s="17" t="s">
        <v>776</v>
      </c>
      <c r="D310" s="16" t="s">
        <v>61</v>
      </c>
      <c r="E310" s="16" t="s">
        <v>777</v>
      </c>
      <c r="F310" s="18" t="s">
        <v>58</v>
      </c>
      <c r="G310" s="17">
        <v>1</v>
      </c>
      <c r="H310" s="19">
        <v>2136.02</v>
      </c>
      <c r="I310" s="19">
        <v>2610.85</v>
      </c>
      <c r="J310" s="19">
        <v>2610.85</v>
      </c>
      <c r="K310" s="105">
        <v>2.4798803046592582E-3</v>
      </c>
      <c r="M310" s="79"/>
      <c r="N310" s="1"/>
      <c r="O310" s="80"/>
      <c r="Q310" s="79"/>
      <c r="R310" s="1"/>
      <c r="S310" s="80"/>
    </row>
    <row r="311" spans="2:19" ht="28.5" x14ac:dyDescent="0.2">
      <c r="B311" s="103" t="s">
        <v>778</v>
      </c>
      <c r="C311" s="17" t="s">
        <v>779</v>
      </c>
      <c r="D311" s="16" t="s">
        <v>56</v>
      </c>
      <c r="E311" s="16" t="s">
        <v>780</v>
      </c>
      <c r="F311" s="18" t="s">
        <v>583</v>
      </c>
      <c r="G311" s="17">
        <v>11</v>
      </c>
      <c r="H311" s="19">
        <v>45.15</v>
      </c>
      <c r="I311" s="19">
        <v>55.18</v>
      </c>
      <c r="J311" s="19">
        <v>606.98</v>
      </c>
      <c r="K311" s="104">
        <v>5.7653168405771165E-4</v>
      </c>
      <c r="M311" s="81">
        <v>2</v>
      </c>
      <c r="N311" s="20">
        <f>I311</f>
        <v>55.18</v>
      </c>
      <c r="O311" s="80">
        <f t="shared" ref="O311" si="12">M311*N311</f>
        <v>110.36</v>
      </c>
      <c r="Q311" s="79"/>
      <c r="R311" s="1"/>
      <c r="S311" s="80"/>
    </row>
    <row r="312" spans="2:19" ht="39" hidden="1" customHeight="1" x14ac:dyDescent="0.2">
      <c r="B312" s="103" t="s">
        <v>781</v>
      </c>
      <c r="C312" s="17" t="s">
        <v>782</v>
      </c>
      <c r="D312" s="16" t="s">
        <v>56</v>
      </c>
      <c r="E312" s="16" t="s">
        <v>783</v>
      </c>
      <c r="F312" s="18" t="s">
        <v>34</v>
      </c>
      <c r="G312" s="17">
        <v>1</v>
      </c>
      <c r="H312" s="19">
        <v>9000</v>
      </c>
      <c r="I312" s="19">
        <v>11000.7</v>
      </c>
      <c r="J312" s="19">
        <v>11000.7</v>
      </c>
      <c r="K312" s="104">
        <v>1.0448865031489783E-2</v>
      </c>
      <c r="M312" s="79"/>
      <c r="N312" s="1"/>
      <c r="O312" s="80"/>
      <c r="Q312" s="79"/>
      <c r="R312" s="1"/>
      <c r="S312" s="80"/>
    </row>
    <row r="313" spans="2:19" ht="28.5" hidden="1" x14ac:dyDescent="0.2">
      <c r="B313" s="103" t="s">
        <v>784</v>
      </c>
      <c r="C313" s="17" t="s">
        <v>785</v>
      </c>
      <c r="D313" s="16" t="s">
        <v>56</v>
      </c>
      <c r="E313" s="16" t="s">
        <v>786</v>
      </c>
      <c r="F313" s="18" t="s">
        <v>63</v>
      </c>
      <c r="G313" s="17">
        <v>0.78</v>
      </c>
      <c r="H313" s="19">
        <v>132.22999999999999</v>
      </c>
      <c r="I313" s="19">
        <v>161.62</v>
      </c>
      <c r="J313" s="19">
        <v>126.06</v>
      </c>
      <c r="K313" s="105">
        <v>1.1973637367345732E-4</v>
      </c>
      <c r="M313" s="79"/>
      <c r="N313" s="1"/>
      <c r="O313" s="80"/>
      <c r="Q313" s="79"/>
      <c r="R313" s="1"/>
      <c r="S313" s="80"/>
    </row>
    <row r="314" spans="2:19" ht="28.5" hidden="1" x14ac:dyDescent="0.2">
      <c r="B314" s="103" t="s">
        <v>787</v>
      </c>
      <c r="C314" s="17" t="s">
        <v>788</v>
      </c>
      <c r="D314" s="16" t="s">
        <v>23</v>
      </c>
      <c r="E314" s="16" t="s">
        <v>789</v>
      </c>
      <c r="F314" s="18" t="s">
        <v>34</v>
      </c>
      <c r="G314" s="17">
        <v>98</v>
      </c>
      <c r="H314" s="19">
        <v>15.1</v>
      </c>
      <c r="I314" s="19">
        <v>18.45</v>
      </c>
      <c r="J314" s="19">
        <v>1808.1</v>
      </c>
      <c r="K314" s="104">
        <v>1.7173991530935919E-3</v>
      </c>
      <c r="M314" s="79"/>
      <c r="N314" s="1"/>
      <c r="O314" s="80"/>
      <c r="Q314" s="79"/>
      <c r="R314" s="1"/>
      <c r="S314" s="80"/>
    </row>
    <row r="315" spans="2:19" ht="42.75" hidden="1" x14ac:dyDescent="0.2">
      <c r="B315" s="103" t="s">
        <v>790</v>
      </c>
      <c r="C315" s="17" t="s">
        <v>791</v>
      </c>
      <c r="D315" s="16" t="s">
        <v>56</v>
      </c>
      <c r="E315" s="16" t="s">
        <v>792</v>
      </c>
      <c r="F315" s="18" t="s">
        <v>34</v>
      </c>
      <c r="G315" s="17">
        <v>1</v>
      </c>
      <c r="H315" s="19">
        <v>4146.43</v>
      </c>
      <c r="I315" s="19">
        <v>5068.18</v>
      </c>
      <c r="J315" s="19">
        <v>5068.18</v>
      </c>
      <c r="K315" s="104">
        <v>4.8139417287350701E-3</v>
      </c>
      <c r="M315" s="79"/>
      <c r="N315" s="1"/>
      <c r="O315" s="80"/>
      <c r="Q315" s="79"/>
      <c r="R315" s="1"/>
      <c r="S315" s="80"/>
    </row>
    <row r="316" spans="2:19" ht="28.5" hidden="1" x14ac:dyDescent="0.2">
      <c r="B316" s="103" t="s">
        <v>793</v>
      </c>
      <c r="C316" s="17" t="s">
        <v>794</v>
      </c>
      <c r="D316" s="16" t="s">
        <v>23</v>
      </c>
      <c r="E316" s="16" t="s">
        <v>795</v>
      </c>
      <c r="F316" s="18" t="s">
        <v>34</v>
      </c>
      <c r="G316" s="17">
        <v>1</v>
      </c>
      <c r="H316" s="19">
        <v>5155.34</v>
      </c>
      <c r="I316" s="19">
        <v>6301.37</v>
      </c>
      <c r="J316" s="19">
        <v>6301.37</v>
      </c>
      <c r="K316" s="104">
        <v>5.985270450378501E-3</v>
      </c>
      <c r="M316" s="79"/>
      <c r="N316" s="1"/>
      <c r="O316" s="80"/>
      <c r="Q316" s="79"/>
      <c r="R316" s="1"/>
      <c r="S316" s="80"/>
    </row>
    <row r="317" spans="2:19" ht="24" customHeight="1" x14ac:dyDescent="0.2">
      <c r="B317" s="101" t="s">
        <v>796</v>
      </c>
      <c r="C317" s="13"/>
      <c r="D317" s="13"/>
      <c r="E317" s="13" t="s">
        <v>797</v>
      </c>
      <c r="F317" s="13"/>
      <c r="G317" s="14"/>
      <c r="H317" s="13"/>
      <c r="I317" s="13"/>
      <c r="J317" s="15">
        <v>8962.7199999999993</v>
      </c>
      <c r="K317" s="102">
        <v>8.5131174920717867E-3</v>
      </c>
      <c r="M317" s="79"/>
      <c r="N317" s="1"/>
      <c r="O317" s="80"/>
      <c r="Q317" s="79"/>
      <c r="R317" s="1"/>
      <c r="S317" s="80"/>
    </row>
    <row r="318" spans="2:19" ht="28.5" x14ac:dyDescent="0.2">
      <c r="B318" s="103" t="s">
        <v>798</v>
      </c>
      <c r="C318" s="17" t="s">
        <v>799</v>
      </c>
      <c r="D318" s="16" t="s">
        <v>23</v>
      </c>
      <c r="E318" s="16" t="s">
        <v>800</v>
      </c>
      <c r="F318" s="18" t="s">
        <v>25</v>
      </c>
      <c r="G318" s="17">
        <v>4</v>
      </c>
      <c r="H318" s="19">
        <v>1833.17</v>
      </c>
      <c r="I318" s="19">
        <v>2240.6799999999998</v>
      </c>
      <c r="J318" s="19">
        <v>8962.7199999999993</v>
      </c>
      <c r="K318" s="104">
        <v>8.5131174920717867E-3</v>
      </c>
      <c r="M318" s="79"/>
      <c r="N318" s="1"/>
      <c r="O318" s="80"/>
      <c r="Q318" s="79">
        <v>2</v>
      </c>
      <c r="R318" s="2">
        <f>I318</f>
        <v>2240.6799999999998</v>
      </c>
      <c r="S318" s="80">
        <f>R318*Q318</f>
        <v>4481.3599999999997</v>
      </c>
    </row>
    <row r="319" spans="2:19" ht="24" customHeight="1" x14ac:dyDescent="0.2">
      <c r="B319" s="101" t="s">
        <v>801</v>
      </c>
      <c r="C319" s="13"/>
      <c r="D319" s="13"/>
      <c r="E319" s="13" t="s">
        <v>802</v>
      </c>
      <c r="F319" s="13"/>
      <c r="G319" s="14"/>
      <c r="H319" s="13"/>
      <c r="I319" s="13"/>
      <c r="J319" s="15">
        <v>4663.26</v>
      </c>
      <c r="K319" s="102">
        <v>4.4293339829960861E-3</v>
      </c>
      <c r="M319" s="79"/>
      <c r="N319" s="1"/>
      <c r="O319" s="80"/>
      <c r="Q319" s="79"/>
      <c r="R319" s="1"/>
      <c r="S319" s="80"/>
    </row>
    <row r="320" spans="2:19" ht="24" hidden="1" customHeight="1" x14ac:dyDescent="0.2">
      <c r="B320" s="103" t="s">
        <v>803</v>
      </c>
      <c r="C320" s="17" t="s">
        <v>804</v>
      </c>
      <c r="D320" s="16" t="s">
        <v>56</v>
      </c>
      <c r="E320" s="16" t="s">
        <v>805</v>
      </c>
      <c r="F320" s="18" t="s">
        <v>34</v>
      </c>
      <c r="G320" s="17">
        <v>26</v>
      </c>
      <c r="H320" s="19">
        <v>13.35</v>
      </c>
      <c r="I320" s="19">
        <v>16.309999999999999</v>
      </c>
      <c r="J320" s="19">
        <v>424.06</v>
      </c>
      <c r="K320" s="105">
        <v>4.0278761399306927E-4</v>
      </c>
      <c r="M320" s="79"/>
      <c r="N320" s="1"/>
      <c r="O320" s="80"/>
      <c r="Q320" s="79"/>
      <c r="R320" s="1"/>
      <c r="S320" s="80"/>
    </row>
    <row r="321" spans="2:22" ht="26.1" hidden="1" customHeight="1" x14ac:dyDescent="0.2">
      <c r="B321" s="103" t="s">
        <v>806</v>
      </c>
      <c r="C321" s="17" t="s">
        <v>807</v>
      </c>
      <c r="D321" s="16" t="s">
        <v>23</v>
      </c>
      <c r="E321" s="16" t="s">
        <v>808</v>
      </c>
      <c r="F321" s="18" t="s">
        <v>34</v>
      </c>
      <c r="G321" s="17">
        <v>6</v>
      </c>
      <c r="H321" s="19">
        <v>34.659999999999997</v>
      </c>
      <c r="I321" s="19">
        <v>42.36</v>
      </c>
      <c r="J321" s="19">
        <v>254.16</v>
      </c>
      <c r="K321" s="104">
        <v>2.41410413555814E-4</v>
      </c>
      <c r="M321" s="79"/>
      <c r="N321" s="1"/>
      <c r="O321" s="80"/>
      <c r="Q321" s="79"/>
      <c r="R321" s="1"/>
      <c r="S321" s="80"/>
    </row>
    <row r="322" spans="2:22" ht="24" customHeight="1" thickBot="1" x14ac:dyDescent="0.25">
      <c r="B322" s="117" t="s">
        <v>809</v>
      </c>
      <c r="C322" s="118" t="s">
        <v>810</v>
      </c>
      <c r="D322" s="119" t="s">
        <v>61</v>
      </c>
      <c r="E322" s="119" t="s">
        <v>811</v>
      </c>
      <c r="F322" s="120" t="s">
        <v>63</v>
      </c>
      <c r="G322" s="118">
        <v>375.24</v>
      </c>
      <c r="H322" s="121">
        <v>8.69</v>
      </c>
      <c r="I322" s="121">
        <v>10.62</v>
      </c>
      <c r="J322" s="121">
        <v>3985.04</v>
      </c>
      <c r="K322" s="122">
        <v>3.7851359554472029E-3</v>
      </c>
      <c r="M322" s="81">
        <f>G322-338.34</f>
        <v>36.900000000000034</v>
      </c>
      <c r="N322" s="20">
        <f>I322</f>
        <v>10.62</v>
      </c>
      <c r="O322" s="80">
        <f>N322*M322</f>
        <v>391.87800000000033</v>
      </c>
      <c r="Q322" s="79"/>
      <c r="R322" s="1"/>
      <c r="S322" s="80"/>
    </row>
    <row r="323" spans="2:22" hidden="1" x14ac:dyDescent="0.2"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M323" s="84"/>
      <c r="N323" s="85"/>
      <c r="O323" s="86"/>
      <c r="Q323" s="93"/>
      <c r="R323" s="94"/>
      <c r="S323" s="95"/>
    </row>
    <row r="324" spans="2:22" ht="15" hidden="1" x14ac:dyDescent="0.2">
      <c r="B324" s="144"/>
      <c r="C324" s="144"/>
      <c r="D324" s="144"/>
      <c r="E324" s="46"/>
      <c r="F324" s="47"/>
      <c r="G324" s="171" t="s">
        <v>812</v>
      </c>
      <c r="H324" s="144"/>
      <c r="I324" s="143">
        <v>864847.73</v>
      </c>
      <c r="J324" s="144"/>
      <c r="K324" s="144"/>
      <c r="M324" s="84"/>
      <c r="N324" s="85"/>
      <c r="O324" s="86"/>
      <c r="Q324" s="93"/>
      <c r="R324" s="94"/>
      <c r="S324" s="96"/>
    </row>
    <row r="325" spans="2:22" ht="15" hidden="1" x14ac:dyDescent="0.2">
      <c r="B325" s="144"/>
      <c r="C325" s="144"/>
      <c r="D325" s="144"/>
      <c r="E325" s="46"/>
      <c r="F325" s="47"/>
      <c r="G325" s="171" t="s">
        <v>813</v>
      </c>
      <c r="H325" s="144"/>
      <c r="I325" s="143">
        <v>187965.18</v>
      </c>
      <c r="J325" s="144"/>
      <c r="K325" s="144"/>
      <c r="M325" s="84"/>
      <c r="N325" s="85"/>
      <c r="O325" s="86"/>
      <c r="Q325" s="93"/>
      <c r="R325" s="94"/>
      <c r="S325" s="95"/>
    </row>
    <row r="326" spans="2:22" ht="15.75" thickBot="1" x14ac:dyDescent="0.25">
      <c r="B326" s="144"/>
      <c r="C326" s="144"/>
      <c r="D326" s="144"/>
      <c r="E326" s="46"/>
      <c r="F326" s="123"/>
      <c r="G326" s="165" t="s">
        <v>814</v>
      </c>
      <c r="H326" s="166"/>
      <c r="I326" s="167">
        <v>1052812.9099999999</v>
      </c>
      <c r="J326" s="168"/>
      <c r="K326" s="169"/>
      <c r="L326" s="124"/>
      <c r="M326" s="145">
        <f>SUM(O6:O322)</f>
        <v>131312.06001000002</v>
      </c>
      <c r="N326" s="146"/>
      <c r="O326" s="147"/>
      <c r="P326" s="74"/>
      <c r="Q326" s="148">
        <f>SUM(S6:S322)</f>
        <v>188565.31939387997</v>
      </c>
      <c r="R326" s="149"/>
      <c r="S326" s="150"/>
    </row>
    <row r="327" spans="2:22" s="50" customFormat="1" ht="16.5" thickBot="1" x14ac:dyDescent="0.25">
      <c r="B327" s="48"/>
      <c r="C327" s="48"/>
      <c r="D327" s="48"/>
      <c r="E327" s="48"/>
      <c r="F327" s="48"/>
      <c r="G327" s="157" t="s">
        <v>861</v>
      </c>
      <c r="H327" s="158"/>
      <c r="I327" s="177">
        <f>I326-M326+Q326</f>
        <v>1110066.1693838798</v>
      </c>
      <c r="J327" s="178"/>
      <c r="K327" s="179"/>
      <c r="L327" s="49"/>
      <c r="M327" s="161" t="s">
        <v>859</v>
      </c>
      <c r="N327" s="162"/>
      <c r="O327" s="87">
        <f>M326/I326</f>
        <v>0.12472497132467726</v>
      </c>
      <c r="P327" s="9"/>
      <c r="Q327" s="163" t="s">
        <v>815</v>
      </c>
      <c r="R327" s="164"/>
      <c r="S327" s="180">
        <f>Q326/I326</f>
        <v>0.17910619978423326</v>
      </c>
    </row>
    <row r="328" spans="2:22" s="50" customFormat="1" ht="15" x14ac:dyDescent="0.2">
      <c r="B328" s="48"/>
      <c r="C328" s="48"/>
      <c r="D328" s="48"/>
      <c r="E328" s="48"/>
      <c r="F328" s="48"/>
      <c r="G328" s="48"/>
      <c r="H328" s="181"/>
      <c r="I328" s="182">
        <v>1077147.21</v>
      </c>
      <c r="J328" s="183"/>
      <c r="K328" s="48"/>
      <c r="L328" s="49"/>
      <c r="M328" s="67"/>
      <c r="N328" s="67"/>
      <c r="O328" s="68"/>
      <c r="P328" s="9"/>
      <c r="Q328" s="69"/>
      <c r="R328" s="69"/>
      <c r="S328" s="70"/>
    </row>
    <row r="329" spans="2:22" s="50" customFormat="1" ht="15" x14ac:dyDescent="0.2">
      <c r="B329" s="48"/>
      <c r="C329" s="48"/>
      <c r="D329" s="48"/>
      <c r="E329" s="48"/>
      <c r="F329" s="48"/>
      <c r="G329" s="48"/>
      <c r="H329" s="181" t="s">
        <v>866</v>
      </c>
      <c r="I329" s="182">
        <f>I327-I328</f>
        <v>32918.959383879788</v>
      </c>
      <c r="J329" s="183"/>
      <c r="K329" s="48"/>
      <c r="L329" s="49"/>
      <c r="M329" s="67"/>
      <c r="N329" s="67"/>
      <c r="O329" s="68"/>
      <c r="P329" s="9"/>
      <c r="Q329" s="141" t="s">
        <v>860</v>
      </c>
      <c r="R329" s="141"/>
      <c r="S329" s="141"/>
    </row>
    <row r="330" spans="2:22" s="50" customFormat="1" ht="15" x14ac:dyDescent="0.2"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9"/>
      <c r="M330" s="67"/>
      <c r="N330" s="67"/>
      <c r="O330" s="68"/>
      <c r="P330" s="9"/>
      <c r="Q330" s="69"/>
      <c r="R330" s="69"/>
      <c r="S330" s="70"/>
    </row>
    <row r="331" spans="2:22" s="50" customFormat="1" ht="15" x14ac:dyDescent="0.2"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9"/>
      <c r="M331" s="67"/>
      <c r="N331" s="67"/>
      <c r="O331" s="68"/>
      <c r="P331" s="9"/>
      <c r="Q331" s="69"/>
      <c r="R331" s="69"/>
      <c r="S331" s="70"/>
    </row>
    <row r="332" spans="2:22" s="50" customFormat="1" ht="15" hidden="1" x14ac:dyDescent="0.2"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9"/>
      <c r="M332" s="67"/>
      <c r="N332" s="67"/>
      <c r="O332" s="68"/>
      <c r="P332" s="9"/>
      <c r="Q332" s="69"/>
      <c r="R332" s="69"/>
      <c r="S332" s="70"/>
    </row>
    <row r="333" spans="2:22" hidden="1" x14ac:dyDescent="0.2">
      <c r="S333" s="58">
        <f>Q326+9121.13</f>
        <v>197686.44939387997</v>
      </c>
      <c r="U333" s="60"/>
      <c r="V333" s="61"/>
    </row>
    <row r="334" spans="2:22" ht="15.75" hidden="1" x14ac:dyDescent="0.2">
      <c r="N334" s="127">
        <f>O293+O191+O156+O136+O106+O103+O99+O98+O96+O95+O94+O78+O77+O75+O72+O63+O53+O48+O47+O46+O44+O39+O31+O27+O23</f>
        <v>86524.616510000022</v>
      </c>
    </row>
    <row r="335" spans="2:22" ht="15.75" hidden="1" thickBot="1" x14ac:dyDescent="0.25">
      <c r="M335" s="85"/>
      <c r="N335" s="125"/>
      <c r="S335" s="4"/>
    </row>
    <row r="336" spans="2:22" ht="15.75" hidden="1" x14ac:dyDescent="0.2">
      <c r="H336" s="51">
        <v>1150934.93</v>
      </c>
      <c r="I336" s="52">
        <f>H336-H337</f>
        <v>98122.020000000019</v>
      </c>
      <c r="M336" s="172" t="s">
        <v>869</v>
      </c>
      <c r="N336" s="172"/>
      <c r="O336" s="140">
        <v>1052812.9099999999</v>
      </c>
      <c r="S336" s="59"/>
    </row>
    <row r="337" spans="8:17" ht="15" hidden="1" customHeight="1" thickBot="1" x14ac:dyDescent="0.25">
      <c r="H337" s="53">
        <v>1052812.9099999999</v>
      </c>
      <c r="I337" s="3">
        <f>I336/H336</f>
        <v>8.52541854820585E-2</v>
      </c>
      <c r="M337" s="173">
        <f>I327</f>
        <v>1110066.1693838798</v>
      </c>
      <c r="N337" s="174"/>
    </row>
    <row r="338" spans="8:17" ht="15.75" hidden="1" x14ac:dyDescent="0.2">
      <c r="H338" s="138"/>
      <c r="I338" s="139"/>
      <c r="M338" s="172" t="s">
        <v>868</v>
      </c>
      <c r="N338" s="172"/>
    </row>
    <row r="339" spans="8:17" ht="15.75" hidden="1" x14ac:dyDescent="0.2">
      <c r="M339" s="132" t="s">
        <v>862</v>
      </c>
      <c r="N339" s="133">
        <v>180880.9</v>
      </c>
      <c r="Q339" s="128"/>
    </row>
    <row r="340" spans="8:17" ht="15.75" hidden="1" x14ac:dyDescent="0.2">
      <c r="M340" s="132" t="s">
        <v>863</v>
      </c>
      <c r="N340" s="133">
        <v>263144.59000000003</v>
      </c>
      <c r="Q340" s="126"/>
    </row>
    <row r="341" spans="8:17" ht="15.75" hidden="1" x14ac:dyDescent="0.2">
      <c r="M341" s="132" t="s">
        <v>864</v>
      </c>
      <c r="N341" s="133">
        <v>115814.2</v>
      </c>
    </row>
    <row r="342" spans="8:17" ht="15.75" hidden="1" x14ac:dyDescent="0.2">
      <c r="M342" s="132" t="s">
        <v>865</v>
      </c>
      <c r="N342" s="133">
        <v>381008.1</v>
      </c>
    </row>
    <row r="343" spans="8:17" ht="15.75" hidden="1" x14ac:dyDescent="0.2">
      <c r="M343" s="137" t="s">
        <v>870</v>
      </c>
      <c r="N343" s="137">
        <f>SUM(N339:N342)</f>
        <v>940847.78999999992</v>
      </c>
    </row>
    <row r="344" spans="8:17" ht="15.75" hidden="1" x14ac:dyDescent="0.2">
      <c r="M344" s="136" t="s">
        <v>871</v>
      </c>
      <c r="N344" s="135">
        <f>I327-N343</f>
        <v>169218.37938387983</v>
      </c>
    </row>
    <row r="345" spans="8:17" hidden="1" x14ac:dyDescent="0.2"/>
    <row r="346" spans="8:17" ht="15.75" hidden="1" x14ac:dyDescent="0.2">
      <c r="M346" s="136" t="s">
        <v>867</v>
      </c>
      <c r="N346" s="134">
        <f>O336-SUM(N339:N342)</f>
        <v>111965.12</v>
      </c>
    </row>
    <row r="347" spans="8:17" x14ac:dyDescent="0.2">
      <c r="M347" s="85"/>
      <c r="N347" s="85"/>
    </row>
  </sheetData>
  <mergeCells count="33">
    <mergeCell ref="M338:N338"/>
    <mergeCell ref="M336:N336"/>
    <mergeCell ref="M337:N337"/>
    <mergeCell ref="I328:J328"/>
    <mergeCell ref="I329:J329"/>
    <mergeCell ref="G327:H327"/>
    <mergeCell ref="I327:K327"/>
    <mergeCell ref="Q329:S329"/>
    <mergeCell ref="B2:D3"/>
    <mergeCell ref="E2:E3"/>
    <mergeCell ref="M327:N327"/>
    <mergeCell ref="Q327:R327"/>
    <mergeCell ref="B326:D326"/>
    <mergeCell ref="G326:H326"/>
    <mergeCell ref="I326:K326"/>
    <mergeCell ref="B4:K4"/>
    <mergeCell ref="B324:D324"/>
    <mergeCell ref="G324:H324"/>
    <mergeCell ref="I324:K324"/>
    <mergeCell ref="B325:D325"/>
    <mergeCell ref="G325:H325"/>
    <mergeCell ref="I325:K325"/>
    <mergeCell ref="M326:O326"/>
    <mergeCell ref="Q326:S326"/>
    <mergeCell ref="M4:O4"/>
    <mergeCell ref="Q4:S4"/>
    <mergeCell ref="Q2:S2"/>
    <mergeCell ref="F2:G2"/>
    <mergeCell ref="H2:I2"/>
    <mergeCell ref="J2:K2"/>
    <mergeCell ref="F3:G3"/>
    <mergeCell ref="H3:I3"/>
    <mergeCell ref="J3:K3"/>
  </mergeCells>
  <pageMargins left="0.51181102362204722" right="0.51181102362204722" top="0.98425196850393704" bottom="0.98425196850393704" header="0.51181102362204722" footer="0.51181102362204722"/>
  <pageSetup paperSize="9" scale="49" fitToHeight="0" orientation="landscape" r:id="rId1"/>
  <headerFooter>
    <oddFooter>Página &amp;P de &amp;N</oddFooter>
  </headerFooter>
  <rowBreaks count="1" manualBreakCount="1">
    <brk id="252" max="18" man="1"/>
  </rowBreaks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Sintético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Luciana de Souza Carvalho</cp:lastModifiedBy>
  <cp:revision>0</cp:revision>
  <cp:lastPrinted>2024-09-20T12:34:02Z</cp:lastPrinted>
  <dcterms:created xsi:type="dcterms:W3CDTF">2022-11-28T12:59:19Z</dcterms:created>
  <dcterms:modified xsi:type="dcterms:W3CDTF">2024-09-20T12:34:36Z</dcterms:modified>
</cp:coreProperties>
</file>